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Лист2" sheetId="2" r:id="rId1"/>
  </sheets>
  <definedNames>
    <definedName name="_xlnm.Print_Area" localSheetId="0">Лист2!$A$1:$O$813</definedName>
  </definedNames>
  <calcPr calcId="144525"/>
</workbook>
</file>

<file path=xl/calcChain.xml><?xml version="1.0" encoding="utf-8"?>
<calcChain xmlns="http://schemas.openxmlformats.org/spreadsheetml/2006/main">
  <c r="N652" i="2" l="1"/>
  <c r="O652" i="2"/>
  <c r="M652" i="2"/>
  <c r="J683" i="2"/>
  <c r="L682" i="2"/>
  <c r="L680" i="2"/>
  <c r="O679" i="2"/>
  <c r="N679" i="2"/>
  <c r="M679" i="2"/>
  <c r="L679" i="2"/>
  <c r="K679" i="2"/>
  <c r="J679" i="2"/>
  <c r="O675" i="2"/>
  <c r="N675" i="2"/>
  <c r="M675" i="2"/>
  <c r="M661" i="2" s="1"/>
  <c r="M660" i="2" s="1"/>
  <c r="M658" i="2" s="1"/>
  <c r="L675" i="2"/>
  <c r="K675" i="2"/>
  <c r="J675" i="2"/>
  <c r="O668" i="2"/>
  <c r="N668" i="2"/>
  <c r="N664" i="2" s="1"/>
  <c r="N661" i="2" s="1"/>
  <c r="N660" i="2" s="1"/>
  <c r="N658" i="2" s="1"/>
  <c r="M668" i="2"/>
  <c r="L668" i="2"/>
  <c r="K668" i="2"/>
  <c r="J668" i="2"/>
  <c r="L665" i="2"/>
  <c r="L664" i="2" s="1"/>
  <c r="L661" i="2" s="1"/>
  <c r="L660" i="2" s="1"/>
  <c r="L658" i="2" s="1"/>
  <c r="K665" i="2"/>
  <c r="K664" i="2" s="1"/>
  <c r="K661" i="2" s="1"/>
  <c r="K660" i="2" s="1"/>
  <c r="K658" i="2" s="1"/>
  <c r="J665" i="2"/>
  <c r="J664" i="2" s="1"/>
  <c r="J661" i="2" s="1"/>
  <c r="J660" i="2" s="1"/>
  <c r="J658" i="2" s="1"/>
  <c r="O664" i="2"/>
  <c r="O661" i="2" s="1"/>
  <c r="O660" i="2" s="1"/>
  <c r="O658" i="2" s="1"/>
  <c r="M664" i="2"/>
  <c r="L652" i="2" l="1"/>
  <c r="K652" i="2"/>
  <c r="K683" i="2" s="1"/>
  <c r="J652" i="2"/>
  <c r="O648" i="2"/>
  <c r="N648" i="2"/>
  <c r="M648" i="2"/>
  <c r="L648" i="2"/>
  <c r="K648" i="2"/>
  <c r="J648" i="2"/>
  <c r="O647" i="2"/>
  <c r="N647" i="2"/>
  <c r="M647" i="2"/>
  <c r="L647" i="2"/>
  <c r="K647" i="2"/>
  <c r="J647" i="2"/>
  <c r="O644" i="2"/>
  <c r="O641" i="2" s="1"/>
  <c r="N644" i="2"/>
  <c r="N641" i="2" s="1"/>
  <c r="M644" i="2"/>
  <c r="M641" i="2" s="1"/>
  <c r="L644" i="2"/>
  <c r="K644" i="2"/>
  <c r="J644" i="2"/>
  <c r="L641" i="2"/>
  <c r="K641" i="2"/>
  <c r="J641" i="2"/>
  <c r="O638" i="2"/>
  <c r="O635" i="2" s="1"/>
  <c r="M638" i="2"/>
  <c r="M635" i="2" s="1"/>
  <c r="L638" i="2"/>
  <c r="L635" i="2" s="1"/>
  <c r="K638" i="2"/>
  <c r="J638" i="2"/>
  <c r="N635" i="2"/>
  <c r="K635" i="2"/>
  <c r="J635" i="2"/>
  <c r="O631" i="2"/>
  <c r="M630" i="2"/>
  <c r="M629" i="2" s="1"/>
  <c r="L630" i="2"/>
  <c r="L629" i="2" s="1"/>
  <c r="O629" i="2"/>
  <c r="N629" i="2"/>
  <c r="K629" i="2"/>
  <c r="J629" i="2"/>
  <c r="O626" i="2"/>
  <c r="N626" i="2"/>
  <c r="M626" i="2"/>
  <c r="L626" i="2"/>
  <c r="K626" i="2"/>
  <c r="K625" i="2" s="1"/>
  <c r="J626" i="2"/>
  <c r="J625" i="2" s="1"/>
  <c r="J608" i="2"/>
  <c r="J604" i="2" s="1"/>
  <c r="L606" i="2"/>
  <c r="K606" i="2"/>
  <c r="K604" i="2" s="1"/>
  <c r="L605" i="2"/>
  <c r="L604" i="2" s="1"/>
  <c r="O604" i="2"/>
  <c r="N604" i="2"/>
  <c r="M604" i="2"/>
  <c r="N625" i="2" l="1"/>
  <c r="N602" i="2" s="1"/>
  <c r="J602" i="2"/>
  <c r="M625" i="2"/>
  <c r="M602" i="2" s="1"/>
  <c r="O625" i="2"/>
  <c r="O602" i="2" s="1"/>
  <c r="K602" i="2"/>
  <c r="L625" i="2"/>
  <c r="L602" i="2" s="1"/>
  <c r="O600" i="2" l="1"/>
  <c r="N600" i="2"/>
  <c r="M600" i="2"/>
  <c r="L600" i="2"/>
  <c r="K600" i="2"/>
  <c r="J600" i="2"/>
  <c r="O597" i="2"/>
  <c r="O596" i="2"/>
  <c r="O592" i="2"/>
  <c r="O591" i="2"/>
  <c r="O587" i="2"/>
  <c r="O581" i="2" s="1"/>
  <c r="O580" i="2" s="1"/>
  <c r="O586" i="2"/>
  <c r="J582" i="2"/>
  <c r="J581" i="2" s="1"/>
  <c r="J580" i="2" s="1"/>
  <c r="N581" i="2"/>
  <c r="M581" i="2"/>
  <c r="M580" i="2" s="1"/>
  <c r="L581" i="2"/>
  <c r="K581" i="2"/>
  <c r="N580" i="2"/>
  <c r="L580" i="2"/>
  <c r="K580" i="2"/>
  <c r="O576" i="2"/>
  <c r="N576" i="2"/>
  <c r="M576" i="2"/>
  <c r="L576" i="2"/>
  <c r="K576" i="2"/>
  <c r="J576" i="2"/>
  <c r="O569" i="2"/>
  <c r="O568" i="2" s="1"/>
  <c r="N569" i="2"/>
  <c r="N568" i="2" s="1"/>
  <c r="N567" i="2" s="1"/>
  <c r="M569" i="2"/>
  <c r="L569" i="2"/>
  <c r="L568" i="2" s="1"/>
  <c r="L567" i="2" s="1"/>
  <c r="K569" i="2"/>
  <c r="K568" i="2" s="1"/>
  <c r="K567" i="2" s="1"/>
  <c r="J569" i="2"/>
  <c r="J568" i="2" s="1"/>
  <c r="M568" i="2"/>
  <c r="M567" i="2" s="1"/>
  <c r="O565" i="2"/>
  <c r="O563" i="2" s="1"/>
  <c r="O562" i="2" s="1"/>
  <c r="N565" i="2"/>
  <c r="M565" i="2"/>
  <c r="O564" i="2"/>
  <c r="N564" i="2"/>
  <c r="N563" i="2" s="1"/>
  <c r="N562" i="2" s="1"/>
  <c r="M564" i="2"/>
  <c r="M563" i="2" s="1"/>
  <c r="M562" i="2" s="1"/>
  <c r="L563" i="2"/>
  <c r="K563" i="2"/>
  <c r="J563" i="2"/>
  <c r="J562" i="2" s="1"/>
  <c r="L562" i="2"/>
  <c r="K562" i="2"/>
  <c r="L557" i="2"/>
  <c r="L541" i="2" s="1"/>
  <c r="L556" i="2"/>
  <c r="K547" i="2"/>
  <c r="J547" i="2"/>
  <c r="K542" i="2"/>
  <c r="J542" i="2"/>
  <c r="J541" i="2" s="1"/>
  <c r="O541" i="2"/>
  <c r="N541" i="2"/>
  <c r="M541" i="2"/>
  <c r="K541" i="2"/>
  <c r="O538" i="2"/>
  <c r="N538" i="2"/>
  <c r="M538" i="2"/>
  <c r="L538" i="2"/>
  <c r="K538" i="2"/>
  <c r="J538" i="2"/>
  <c r="O533" i="2"/>
  <c r="N533" i="2"/>
  <c r="M533" i="2"/>
  <c r="L533" i="2"/>
  <c r="K533" i="2"/>
  <c r="J533" i="2"/>
  <c r="O531" i="2"/>
  <c r="N531" i="2"/>
  <c r="M531" i="2"/>
  <c r="K531" i="2"/>
  <c r="J531" i="2"/>
  <c r="O526" i="2"/>
  <c r="N526" i="2"/>
  <c r="M526" i="2"/>
  <c r="L526" i="2"/>
  <c r="K526" i="2"/>
  <c r="J526" i="2"/>
  <c r="K524" i="2"/>
  <c r="J524" i="2"/>
  <c r="J521" i="2" s="1"/>
  <c r="K522" i="2"/>
  <c r="K521" i="2" s="1"/>
  <c r="J522" i="2"/>
  <c r="O521" i="2"/>
  <c r="N521" i="2"/>
  <c r="M521" i="2"/>
  <c r="L521" i="2"/>
  <c r="L519" i="2"/>
  <c r="K519" i="2"/>
  <c r="J519" i="2"/>
  <c r="K516" i="2"/>
  <c r="K512" i="2" s="1"/>
  <c r="J516" i="2"/>
  <c r="K515" i="2"/>
  <c r="J515" i="2"/>
  <c r="O512" i="2"/>
  <c r="N512" i="2"/>
  <c r="M512" i="2"/>
  <c r="M499" i="2" s="1"/>
  <c r="L512" i="2"/>
  <c r="J512" i="2"/>
  <c r="O509" i="2"/>
  <c r="O500" i="2" s="1"/>
  <c r="O499" i="2" s="1"/>
  <c r="N509" i="2"/>
  <c r="N500" i="2" s="1"/>
  <c r="N499" i="2" s="1"/>
  <c r="J504" i="2"/>
  <c r="M500" i="2"/>
  <c r="L500" i="2"/>
  <c r="K500" i="2"/>
  <c r="J500" i="2"/>
  <c r="J499" i="2" s="1"/>
  <c r="L499" i="2"/>
  <c r="O497" i="2"/>
  <c r="N497" i="2"/>
  <c r="M497" i="2"/>
  <c r="L497" i="2"/>
  <c r="K497" i="2"/>
  <c r="J497" i="2"/>
  <c r="O494" i="2"/>
  <c r="N494" i="2"/>
  <c r="M494" i="2"/>
  <c r="L494" i="2"/>
  <c r="K494" i="2"/>
  <c r="J494" i="2"/>
  <c r="O482" i="2"/>
  <c r="N482" i="2"/>
  <c r="M482" i="2"/>
  <c r="L482" i="2"/>
  <c r="K482" i="2"/>
  <c r="J482" i="2"/>
  <c r="O477" i="2"/>
  <c r="N477" i="2"/>
  <c r="N476" i="2" s="1"/>
  <c r="M477" i="2"/>
  <c r="M476" i="2" s="1"/>
  <c r="L477" i="2"/>
  <c r="L476" i="2" s="1"/>
  <c r="K477" i="2"/>
  <c r="J477" i="2"/>
  <c r="J476" i="2" s="1"/>
  <c r="O476" i="2"/>
  <c r="K476" i="2"/>
  <c r="L470" i="2"/>
  <c r="K470" i="2"/>
  <c r="J470" i="2"/>
  <c r="L465" i="2"/>
  <c r="L455" i="2" s="1"/>
  <c r="K465" i="2"/>
  <c r="J465" i="2"/>
  <c r="L464" i="2"/>
  <c r="K463" i="2"/>
  <c r="J463" i="2"/>
  <c r="K462" i="2"/>
  <c r="J462" i="2"/>
  <c r="K461" i="2"/>
  <c r="J461" i="2"/>
  <c r="L460" i="2"/>
  <c r="K460" i="2"/>
  <c r="J460" i="2"/>
  <c r="O458" i="2"/>
  <c r="N458" i="2"/>
  <c r="N455" i="2" s="1"/>
  <c r="M458" i="2"/>
  <c r="O457" i="2"/>
  <c r="N457" i="2"/>
  <c r="M457" i="2"/>
  <c r="M455" i="2" s="1"/>
  <c r="O455" i="2"/>
  <c r="K455" i="2"/>
  <c r="J455" i="2"/>
  <c r="K454" i="2"/>
  <c r="J454" i="2"/>
  <c r="J447" i="2" s="1"/>
  <c r="J445" i="2" s="1"/>
  <c r="J444" i="2" s="1"/>
  <c r="K453" i="2"/>
  <c r="J453" i="2"/>
  <c r="O451" i="2"/>
  <c r="N451" i="2"/>
  <c r="M451" i="2"/>
  <c r="O450" i="2"/>
  <c r="N450" i="2"/>
  <c r="M450" i="2"/>
  <c r="O448" i="2"/>
  <c r="N448" i="2"/>
  <c r="N447" i="2" s="1"/>
  <c r="N445" i="2" s="1"/>
  <c r="M448" i="2"/>
  <c r="M447" i="2" s="1"/>
  <c r="M445" i="2" s="1"/>
  <c r="M444" i="2" s="1"/>
  <c r="O447" i="2"/>
  <c r="O445" i="2" s="1"/>
  <c r="O444" i="2" s="1"/>
  <c r="L447" i="2"/>
  <c r="K447" i="2"/>
  <c r="J567" i="2" l="1"/>
  <c r="O567" i="2"/>
  <c r="N444" i="2"/>
  <c r="K499" i="2"/>
  <c r="K445" i="2" s="1"/>
  <c r="K444" i="2" s="1"/>
  <c r="L445" i="2"/>
  <c r="L444" i="2" s="1"/>
  <c r="O441" i="2" l="1"/>
  <c r="O401" i="2" s="1"/>
  <c r="O399" i="2" s="1"/>
  <c r="N441" i="2"/>
  <c r="M441" i="2"/>
  <c r="L441" i="2"/>
  <c r="K441" i="2"/>
  <c r="J441" i="2"/>
  <c r="O433" i="2"/>
  <c r="N433" i="2"/>
  <c r="M433" i="2"/>
  <c r="L433" i="2"/>
  <c r="K433" i="2"/>
  <c r="J433" i="2"/>
  <c r="N432" i="2"/>
  <c r="O429" i="2"/>
  <c r="N429" i="2"/>
  <c r="M429" i="2"/>
  <c r="L429" i="2"/>
  <c r="K429" i="2"/>
  <c r="J429" i="2"/>
  <c r="O421" i="2"/>
  <c r="N421" i="2"/>
  <c r="M421" i="2"/>
  <c r="L421" i="2"/>
  <c r="K421" i="2"/>
  <c r="J421" i="2"/>
  <c r="O417" i="2"/>
  <c r="N417" i="2"/>
  <c r="M417" i="2"/>
  <c r="L417" i="2"/>
  <c r="K417" i="2"/>
  <c r="J417" i="2"/>
  <c r="M415" i="2"/>
  <c r="N412" i="2"/>
  <c r="M412" i="2"/>
  <c r="M411" i="2"/>
  <c r="O410" i="2"/>
  <c r="N410" i="2"/>
  <c r="M410" i="2"/>
  <c r="L410" i="2"/>
  <c r="K410" i="2"/>
  <c r="J410" i="2"/>
  <c r="M404" i="2"/>
  <c r="O402" i="2"/>
  <c r="N402" i="2"/>
  <c r="M402" i="2"/>
  <c r="L402" i="2"/>
  <c r="L401" i="2" s="1"/>
  <c r="L399" i="2" s="1"/>
  <c r="K402" i="2"/>
  <c r="K401" i="2" s="1"/>
  <c r="K399" i="2" s="1"/>
  <c r="J402" i="2"/>
  <c r="J401" i="2" s="1"/>
  <c r="J399" i="2" s="1"/>
  <c r="N401" i="2"/>
  <c r="N399" i="2" s="1"/>
  <c r="M401" i="2"/>
  <c r="M399" i="2" s="1"/>
  <c r="O393" i="2" l="1"/>
  <c r="O392" i="2"/>
  <c r="N392" i="2"/>
  <c r="M392" i="2"/>
  <c r="O391" i="2"/>
  <c r="N390" i="2"/>
  <c r="N389" i="2" s="1"/>
  <c r="N388" i="2" s="1"/>
  <c r="N386" i="2" s="1"/>
  <c r="M390" i="2"/>
  <c r="M389" i="2" s="1"/>
  <c r="M388" i="2" s="1"/>
  <c r="M386" i="2" s="1"/>
  <c r="L389" i="2"/>
  <c r="K389" i="2"/>
  <c r="J389" i="2"/>
  <c r="J388" i="2" s="1"/>
  <c r="J386" i="2" s="1"/>
  <c r="L388" i="2"/>
  <c r="L386" i="2" s="1"/>
  <c r="K388" i="2"/>
  <c r="K386" i="2" s="1"/>
  <c r="O390" i="2" l="1"/>
  <c r="O389" i="2" l="1"/>
  <c r="O388" i="2" s="1"/>
  <c r="O386" i="2" s="1"/>
  <c r="O384" i="2" l="1"/>
  <c r="O369" i="2" s="1"/>
  <c r="N384" i="2"/>
  <c r="N369" i="2" s="1"/>
  <c r="M384" i="2"/>
  <c r="M369" i="2" s="1"/>
  <c r="K384" i="2"/>
  <c r="J384" i="2"/>
  <c r="O382" i="2"/>
  <c r="N382" i="2"/>
  <c r="M382" i="2"/>
  <c r="K382" i="2"/>
  <c r="O377" i="2"/>
  <c r="N377" i="2"/>
  <c r="N367" i="2" s="1"/>
  <c r="M377" i="2"/>
  <c r="L377" i="2"/>
  <c r="M375" i="2"/>
  <c r="L375" i="2"/>
  <c r="L367" i="2" s="1"/>
  <c r="K375" i="2"/>
  <c r="K367" i="2" s="1"/>
  <c r="K365" i="2" s="1"/>
  <c r="J375" i="2"/>
  <c r="O370" i="2"/>
  <c r="N370" i="2"/>
  <c r="M370" i="2"/>
  <c r="M367" i="2" s="1"/>
  <c r="L370" i="2"/>
  <c r="K370" i="2"/>
  <c r="J370" i="2"/>
  <c r="J367" i="2" s="1"/>
  <c r="J365" i="2" s="1"/>
  <c r="O368" i="2"/>
  <c r="N368" i="2"/>
  <c r="M368" i="2"/>
  <c r="L368" i="2"/>
  <c r="O367" i="2"/>
  <c r="O357" i="2"/>
  <c r="N357" i="2"/>
  <c r="M357" i="2"/>
  <c r="L357" i="2"/>
  <c r="K357" i="2"/>
  <c r="J357" i="2"/>
  <c r="O351" i="2"/>
  <c r="N351" i="2"/>
  <c r="M351" i="2"/>
  <c r="L351" i="2"/>
  <c r="K351" i="2"/>
  <c r="J351" i="2"/>
  <c r="O345" i="2"/>
  <c r="N345" i="2"/>
  <c r="M345" i="2"/>
  <c r="L345" i="2"/>
  <c r="K345" i="2"/>
  <c r="J345" i="2"/>
  <c r="O342" i="2"/>
  <c r="N342" i="2"/>
  <c r="M342" i="2"/>
  <c r="L342" i="2"/>
  <c r="K342" i="2"/>
  <c r="J342" i="2"/>
  <c r="O338" i="2"/>
  <c r="N338" i="2"/>
  <c r="M338" i="2"/>
  <c r="L338" i="2"/>
  <c r="K338" i="2"/>
  <c r="J338" i="2"/>
  <c r="O334" i="2"/>
  <c r="N334" i="2"/>
  <c r="N330" i="2" s="1"/>
  <c r="M334" i="2"/>
  <c r="L334" i="2"/>
  <c r="K334" i="2"/>
  <c r="J334" i="2"/>
  <c r="O331" i="2"/>
  <c r="O330" i="2" s="1"/>
  <c r="N331" i="2"/>
  <c r="M331" i="2"/>
  <c r="M330" i="2" s="1"/>
  <c r="L331" i="2"/>
  <c r="K331" i="2"/>
  <c r="J331" i="2"/>
  <c r="L330" i="2"/>
  <c r="K330" i="2"/>
  <c r="J330" i="2"/>
  <c r="O326" i="2"/>
  <c r="N326" i="2"/>
  <c r="M326" i="2"/>
  <c r="L326" i="2"/>
  <c r="K326" i="2"/>
  <c r="J326" i="2"/>
  <c r="O322" i="2"/>
  <c r="N322" i="2"/>
  <c r="M322" i="2"/>
  <c r="L322" i="2"/>
  <c r="K322" i="2"/>
  <c r="J322" i="2"/>
  <c r="O319" i="2"/>
  <c r="N319" i="2"/>
  <c r="M319" i="2"/>
  <c r="L319" i="2"/>
  <c r="K319" i="2"/>
  <c r="J319" i="2"/>
  <c r="O317" i="2"/>
  <c r="N317" i="2"/>
  <c r="M317" i="2"/>
  <c r="L317" i="2"/>
  <c r="K317" i="2"/>
  <c r="J317" i="2"/>
  <c r="O312" i="2"/>
  <c r="N312" i="2"/>
  <c r="M312" i="2"/>
  <c r="L312" i="2"/>
  <c r="K312" i="2"/>
  <c r="J312" i="2"/>
  <c r="O309" i="2"/>
  <c r="N309" i="2"/>
  <c r="M309" i="2"/>
  <c r="L309" i="2"/>
  <c r="K309" i="2"/>
  <c r="J309" i="2"/>
  <c r="O304" i="2"/>
  <c r="N304" i="2"/>
  <c r="M304" i="2"/>
  <c r="L304" i="2"/>
  <c r="K304" i="2"/>
  <c r="J304" i="2"/>
  <c r="O300" i="2"/>
  <c r="N300" i="2"/>
  <c r="M300" i="2"/>
  <c r="L300" i="2"/>
  <c r="K300" i="2"/>
  <c r="J300" i="2"/>
  <c r="O295" i="2"/>
  <c r="N295" i="2"/>
  <c r="M295" i="2"/>
  <c r="L295" i="2"/>
  <c r="K295" i="2"/>
  <c r="J295" i="2"/>
  <c r="O291" i="2"/>
  <c r="N291" i="2"/>
  <c r="M291" i="2"/>
  <c r="L291" i="2"/>
  <c r="K291" i="2"/>
  <c r="J291" i="2"/>
  <c r="O287" i="2"/>
  <c r="N287" i="2"/>
  <c r="M287" i="2"/>
  <c r="L287" i="2"/>
  <c r="K287" i="2"/>
  <c r="J287" i="2"/>
  <c r="O282" i="2"/>
  <c r="N282" i="2"/>
  <c r="M282" i="2"/>
  <c r="L282" i="2"/>
  <c r="K282" i="2"/>
  <c r="J282" i="2"/>
  <c r="O278" i="2"/>
  <c r="N278" i="2"/>
  <c r="M278" i="2"/>
  <c r="L278" i="2"/>
  <c r="K278" i="2"/>
  <c r="J278" i="2"/>
  <c r="O273" i="2"/>
  <c r="N273" i="2"/>
  <c r="M273" i="2"/>
  <c r="L273" i="2"/>
  <c r="K273" i="2"/>
  <c r="J273" i="2"/>
  <c r="O268" i="2"/>
  <c r="N268" i="2"/>
  <c r="M268" i="2"/>
  <c r="L268" i="2"/>
  <c r="K268" i="2"/>
  <c r="J268" i="2"/>
  <c r="O263" i="2"/>
  <c r="N263" i="2"/>
  <c r="M263" i="2"/>
  <c r="L263" i="2"/>
  <c r="K263" i="2"/>
  <c r="J263" i="2"/>
  <c r="O258" i="2"/>
  <c r="N258" i="2"/>
  <c r="M258" i="2"/>
  <c r="M247" i="2" s="1"/>
  <c r="L258" i="2"/>
  <c r="K258" i="2"/>
  <c r="J258" i="2"/>
  <c r="O257" i="2"/>
  <c r="O256" i="2" s="1"/>
  <c r="N257" i="2"/>
  <c r="N256" i="2" s="1"/>
  <c r="M256" i="2"/>
  <c r="L256" i="2"/>
  <c r="K256" i="2"/>
  <c r="J256" i="2"/>
  <c r="O248" i="2"/>
  <c r="O247" i="2" s="1"/>
  <c r="N248" i="2"/>
  <c r="M248" i="2"/>
  <c r="L248" i="2"/>
  <c r="K248" i="2"/>
  <c r="K247" i="2" s="1"/>
  <c r="J248" i="2"/>
  <c r="J247" i="2" s="1"/>
  <c r="L247" i="2"/>
  <c r="O244" i="2"/>
  <c r="N244" i="2"/>
  <c r="M244" i="2"/>
  <c r="L244" i="2"/>
  <c r="K244" i="2"/>
  <c r="J244" i="2"/>
  <c r="O240" i="2"/>
  <c r="N240" i="2"/>
  <c r="M240" i="2"/>
  <c r="L240" i="2"/>
  <c r="K240" i="2"/>
  <c r="J240" i="2"/>
  <c r="O236" i="2"/>
  <c r="O234" i="2" s="1"/>
  <c r="N236" i="2"/>
  <c r="M236" i="2"/>
  <c r="L236" i="2"/>
  <c r="K236" i="2"/>
  <c r="K234" i="2" s="1"/>
  <c r="J236" i="2"/>
  <c r="J234" i="2" s="1"/>
  <c r="N234" i="2"/>
  <c r="M234" i="2"/>
  <c r="L234" i="2"/>
  <c r="O228" i="2"/>
  <c r="O227" i="2" s="1"/>
  <c r="N228" i="2"/>
  <c r="M228" i="2"/>
  <c r="L228" i="2"/>
  <c r="K228" i="2"/>
  <c r="J228" i="2"/>
  <c r="J227" i="2" s="1"/>
  <c r="N227" i="2"/>
  <c r="M227" i="2"/>
  <c r="L227" i="2"/>
  <c r="K227" i="2"/>
  <c r="O213" i="2"/>
  <c r="N213" i="2"/>
  <c r="M213" i="2"/>
  <c r="L213" i="2"/>
  <c r="K213" i="2"/>
  <c r="J213" i="2"/>
  <c r="J195" i="2" s="1"/>
  <c r="O201" i="2"/>
  <c r="N201" i="2"/>
  <c r="N195" i="2" s="1"/>
  <c r="M201" i="2"/>
  <c r="M195" i="2" s="1"/>
  <c r="L201" i="2"/>
  <c r="L195" i="2" s="1"/>
  <c r="K201" i="2"/>
  <c r="K195" i="2" s="1"/>
  <c r="J201" i="2"/>
  <c r="O195" i="2"/>
  <c r="O189" i="2"/>
  <c r="N189" i="2"/>
  <c r="M189" i="2"/>
  <c r="L189" i="2"/>
  <c r="K189" i="2"/>
  <c r="J189" i="2"/>
  <c r="O186" i="2"/>
  <c r="N186" i="2"/>
  <c r="M186" i="2"/>
  <c r="L186" i="2"/>
  <c r="K186" i="2"/>
  <c r="J186" i="2"/>
  <c r="O182" i="2"/>
  <c r="N182" i="2"/>
  <c r="M182" i="2"/>
  <c r="L182" i="2"/>
  <c r="K182" i="2"/>
  <c r="J182" i="2"/>
  <c r="O180" i="2"/>
  <c r="N180" i="2"/>
  <c r="M180" i="2"/>
  <c r="L180" i="2"/>
  <c r="K180" i="2"/>
  <c r="J180" i="2"/>
  <c r="O169" i="2"/>
  <c r="N169" i="2"/>
  <c r="M169" i="2"/>
  <c r="L169" i="2"/>
  <c r="K169" i="2"/>
  <c r="J169" i="2"/>
  <c r="O160" i="2"/>
  <c r="N160" i="2"/>
  <c r="M160" i="2"/>
  <c r="L160" i="2"/>
  <c r="K160" i="2"/>
  <c r="J160" i="2"/>
  <c r="O154" i="2"/>
  <c r="N154" i="2"/>
  <c r="M154" i="2"/>
  <c r="L154" i="2"/>
  <c r="K154" i="2"/>
  <c r="J154" i="2"/>
  <c r="O147" i="2"/>
  <c r="N147" i="2"/>
  <c r="M147" i="2"/>
  <c r="L147" i="2"/>
  <c r="K147" i="2"/>
  <c r="J147" i="2"/>
  <c r="O139" i="2"/>
  <c r="N139" i="2"/>
  <c r="M139" i="2"/>
  <c r="L139" i="2"/>
  <c r="K139" i="2"/>
  <c r="J139" i="2"/>
  <c r="O128" i="2"/>
  <c r="O127" i="2" s="1"/>
  <c r="N128" i="2"/>
  <c r="M128" i="2"/>
  <c r="L128" i="2"/>
  <c r="K128" i="2"/>
  <c r="K127" i="2" s="1"/>
  <c r="J128" i="2"/>
  <c r="J127" i="2" s="1"/>
  <c r="N127" i="2"/>
  <c r="M127" i="2"/>
  <c r="L127" i="2"/>
  <c r="O125" i="2"/>
  <c r="N125" i="2"/>
  <c r="M125" i="2"/>
  <c r="L125" i="2"/>
  <c r="K125" i="2"/>
  <c r="J125" i="2"/>
  <c r="O123" i="2"/>
  <c r="N123" i="2"/>
  <c r="M123" i="2"/>
  <c r="L123" i="2"/>
  <c r="K123" i="2"/>
  <c r="J123" i="2"/>
  <c r="O121" i="2"/>
  <c r="O117" i="2" s="1"/>
  <c r="N121" i="2"/>
  <c r="M121" i="2"/>
  <c r="L121" i="2"/>
  <c r="K121" i="2"/>
  <c r="J121" i="2"/>
  <c r="J117" i="2" s="1"/>
  <c r="O119" i="2"/>
  <c r="N119" i="2"/>
  <c r="N117" i="2" s="1"/>
  <c r="M119" i="2"/>
  <c r="M117" i="2" s="1"/>
  <c r="L119" i="2"/>
  <c r="L117" i="2" s="1"/>
  <c r="K119" i="2"/>
  <c r="J119" i="2"/>
  <c r="K117" i="2"/>
  <c r="O114" i="2"/>
  <c r="N114" i="2"/>
  <c r="O113" i="2"/>
  <c r="O112" i="2" s="1"/>
  <c r="N113" i="2"/>
  <c r="N112" i="2" s="1"/>
  <c r="M113" i="2"/>
  <c r="M112" i="2" s="1"/>
  <c r="L113" i="2"/>
  <c r="K113" i="2"/>
  <c r="K112" i="2" s="1"/>
  <c r="J113" i="2"/>
  <c r="L112" i="2"/>
  <c r="J112" i="2"/>
  <c r="O109" i="2"/>
  <c r="N109" i="2"/>
  <c r="M109" i="2"/>
  <c r="L109" i="2"/>
  <c r="K109" i="2"/>
  <c r="J109" i="2"/>
  <c r="O106" i="2"/>
  <c r="N106" i="2"/>
  <c r="M106" i="2"/>
  <c r="L106" i="2"/>
  <c r="K106" i="2"/>
  <c r="J106" i="2"/>
  <c r="O101" i="2"/>
  <c r="N101" i="2"/>
  <c r="M101" i="2"/>
  <c r="L101" i="2"/>
  <c r="K101" i="2"/>
  <c r="J101" i="2"/>
  <c r="O94" i="2"/>
  <c r="N94" i="2"/>
  <c r="M94" i="2"/>
  <c r="L94" i="2"/>
  <c r="K94" i="2"/>
  <c r="J94" i="2"/>
  <c r="O92" i="2"/>
  <c r="N92" i="2"/>
  <c r="M92" i="2"/>
  <c r="L92" i="2"/>
  <c r="K92" i="2"/>
  <c r="K75" i="2" s="1"/>
  <c r="J92" i="2"/>
  <c r="O88" i="2"/>
  <c r="N88" i="2"/>
  <c r="M88" i="2"/>
  <c r="M75" i="2" s="1"/>
  <c r="L88" i="2"/>
  <c r="L75" i="2" s="1"/>
  <c r="K88" i="2"/>
  <c r="J88" i="2"/>
  <c r="N86" i="2"/>
  <c r="O84" i="2"/>
  <c r="N84" i="2"/>
  <c r="M84" i="2"/>
  <c r="L84" i="2"/>
  <c r="K84" i="2"/>
  <c r="J84" i="2"/>
  <c r="O81" i="2"/>
  <c r="N81" i="2"/>
  <c r="N79" i="2" s="1"/>
  <c r="O79" i="2"/>
  <c r="O75" i="2" s="1"/>
  <c r="M79" i="2"/>
  <c r="L79" i="2"/>
  <c r="K79" i="2"/>
  <c r="J79" i="2"/>
  <c r="O76" i="2"/>
  <c r="N76" i="2"/>
  <c r="M76" i="2"/>
  <c r="L76" i="2"/>
  <c r="K76" i="2"/>
  <c r="J76" i="2"/>
  <c r="J75" i="2" s="1"/>
  <c r="O70" i="2"/>
  <c r="N70" i="2"/>
  <c r="M70" i="2"/>
  <c r="L70" i="2"/>
  <c r="K70" i="2"/>
  <c r="J70" i="2"/>
  <c r="O65" i="2"/>
  <c r="N65" i="2"/>
  <c r="M65" i="2"/>
  <c r="L65" i="2"/>
  <c r="K65" i="2"/>
  <c r="J65" i="2"/>
  <c r="O64" i="2"/>
  <c r="N64" i="2"/>
  <c r="M64" i="2"/>
  <c r="L64" i="2"/>
  <c r="K64" i="2"/>
  <c r="J64" i="2"/>
  <c r="L62" i="2"/>
  <c r="O61" i="2"/>
  <c r="N61" i="2"/>
  <c r="N60" i="2" s="1"/>
  <c r="M61" i="2"/>
  <c r="M60" i="2" s="1"/>
  <c r="L61" i="2"/>
  <c r="L60" i="2" s="1"/>
  <c r="K61" i="2"/>
  <c r="J61" i="2"/>
  <c r="O60" i="2"/>
  <c r="K60" i="2"/>
  <c r="J60" i="2"/>
  <c r="O59" i="2"/>
  <c r="N59" i="2"/>
  <c r="M59" i="2"/>
  <c r="L59" i="2"/>
  <c r="K59" i="2"/>
  <c r="J59" i="2"/>
  <c r="M58" i="2"/>
  <c r="L58" i="2"/>
  <c r="O56" i="2"/>
  <c r="N56" i="2"/>
  <c r="M56" i="2"/>
  <c r="M55" i="2" s="1"/>
  <c r="L56" i="2"/>
  <c r="L55" i="2" s="1"/>
  <c r="K56" i="2"/>
  <c r="J56" i="2"/>
  <c r="J55" i="2" s="1"/>
  <c r="O55" i="2"/>
  <c r="N55" i="2"/>
  <c r="K55" i="2"/>
  <c r="O50" i="2"/>
  <c r="N50" i="2"/>
  <c r="M50" i="2"/>
  <c r="L50" i="2"/>
  <c r="K50" i="2"/>
  <c r="J50" i="2"/>
  <c r="O46" i="2"/>
  <c r="N46" i="2"/>
  <c r="M46" i="2"/>
  <c r="L46" i="2"/>
  <c r="K46" i="2"/>
  <c r="J46" i="2"/>
  <c r="O33" i="2"/>
  <c r="N33" i="2"/>
  <c r="M33" i="2"/>
  <c r="M28" i="2" s="1"/>
  <c r="M27" i="2" s="1"/>
  <c r="M25" i="2" s="1"/>
  <c r="L33" i="2"/>
  <c r="L28" i="2" s="1"/>
  <c r="K33" i="2"/>
  <c r="J33" i="2"/>
  <c r="O29" i="2"/>
  <c r="O28" i="2" s="1"/>
  <c r="N29" i="2"/>
  <c r="M29" i="2"/>
  <c r="L29" i="2"/>
  <c r="K29" i="2"/>
  <c r="K28" i="2" s="1"/>
  <c r="J29" i="2"/>
  <c r="O365" i="2" l="1"/>
  <c r="O683" i="2" s="1"/>
  <c r="L365" i="2"/>
  <c r="L683" i="2" s="1"/>
  <c r="N365" i="2"/>
  <c r="N683" i="2" s="1"/>
  <c r="M365" i="2"/>
  <c r="M683" i="2" s="1"/>
  <c r="N247" i="2"/>
  <c r="N75" i="2"/>
  <c r="N28" i="2"/>
  <c r="N27" i="2" s="1"/>
  <c r="L27" i="2"/>
  <c r="L25" i="2" s="1"/>
  <c r="K27" i="2"/>
  <c r="K25" i="2" s="1"/>
  <c r="O27" i="2"/>
  <c r="O25" i="2" s="1"/>
  <c r="J28" i="2"/>
  <c r="J27" i="2" s="1"/>
  <c r="J25" i="2" s="1"/>
  <c r="N25" i="2" l="1"/>
  <c r="M17" i="2" l="1"/>
  <c r="M14" i="2"/>
  <c r="N14" i="2"/>
  <c r="N17" i="2"/>
  <c r="O17" i="2" l="1"/>
  <c r="O15" i="2"/>
  <c r="O14" i="2"/>
  <c r="M16" i="2" l="1"/>
  <c r="M13" i="2"/>
  <c r="M12" i="2" l="1"/>
  <c r="O16" i="2"/>
  <c r="K16" i="2" l="1"/>
  <c r="L16" i="2"/>
  <c r="N16" i="2"/>
  <c r="J16" i="2"/>
  <c r="J13" i="2" l="1"/>
  <c r="J12" i="2" s="1"/>
  <c r="J10" i="2" s="1"/>
  <c r="O13" i="2" l="1"/>
  <c r="N13" i="2"/>
  <c r="L13" i="2"/>
  <c r="K13" i="2"/>
  <c r="K12" i="2" s="1"/>
  <c r="K10" i="2" s="1"/>
  <c r="O12" i="2" l="1"/>
  <c r="N12" i="2"/>
  <c r="N10" i="2" s="1"/>
  <c r="M10" i="2"/>
  <c r="L12" i="2"/>
  <c r="L10" i="2" l="1"/>
  <c r="O10" i="2"/>
</calcChain>
</file>

<file path=xl/sharedStrings.xml><?xml version="1.0" encoding="utf-8"?>
<sst xmlns="http://schemas.openxmlformats.org/spreadsheetml/2006/main" count="2791" uniqueCount="995">
  <si>
    <t>Код главного распорядителя бюджетных средств</t>
  </si>
  <si>
    <t>Наименование расходного обязательства</t>
  </si>
  <si>
    <t>Правовое основание финансового обеспечения и расходования средств (нормативные правовые акты, договоры, соглашения)</t>
  </si>
  <si>
    <t>Код бюджетной классификации</t>
  </si>
  <si>
    <t>Объем бюджетных ассигнований, тыс. рублей</t>
  </si>
  <si>
    <t xml:space="preserve">Реквизиты </t>
  </si>
  <si>
    <t>Раздел, подраздел, глава, статья, часть, пункт, подпункт, абзац</t>
  </si>
  <si>
    <t>Дата вступления в силу, срок действия</t>
  </si>
  <si>
    <t>Рз</t>
  </si>
  <si>
    <t>Пр</t>
  </si>
  <si>
    <t>КЦСР</t>
  </si>
  <si>
    <t>КВР</t>
  </si>
  <si>
    <t>план</t>
  </si>
  <si>
    <t>факт</t>
  </si>
  <si>
    <t>Раздел I. Расходные обязательства, возникшие в результате реализации ст.15, 15.1 Федерального закона от 6 октября 2003 года №131-ФЗ "Об общих принципах организации местного самоуправления в Российской Федерации"</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</si>
  <si>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</si>
  <si>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131-ФЗ от 06.10.03 г.</t>
  </si>
  <si>
    <t>ст. 15 п.1</t>
  </si>
  <si>
    <t>01.01.09 г., не ограничен</t>
  </si>
  <si>
    <t>01</t>
  </si>
  <si>
    <t>03</t>
  </si>
  <si>
    <t>5010000190</t>
  </si>
  <si>
    <t xml:space="preserve">Устав МО Крымский район, принятый решением Совета МО Крымский район №175 от 26.04.2017г. </t>
  </si>
  <si>
    <t>гл.5 ст.23,25,26,27</t>
  </si>
  <si>
    <t>24.05.2017 г. -бессрочно</t>
  </si>
  <si>
    <t>5020000190</t>
  </si>
  <si>
    <t>121</t>
  </si>
  <si>
    <t>129</t>
  </si>
  <si>
    <t>122</t>
  </si>
  <si>
    <t xml:space="preserve"> 1.НК РФ часть 1, 2.Федеральный закон № 167-ФЗ от 15.12.2001 г., 3.Федеральный закон № 27-ФЗ от 01.04.1996 г., 4.Федеральный закон № 165-ФЗ от 16.07.1999 г.</t>
  </si>
  <si>
    <t>1. 01.01.99 г. - не ограничен, 2.от 17.12.01 г.- не ограничен, 3.01.01.97 г.-не ограничен, 4.19.07.99 г.-не ограгичен</t>
  </si>
  <si>
    <t>244</t>
  </si>
  <si>
    <t>ч.1 гл.30 ст.372-386</t>
  </si>
  <si>
    <t>851</t>
  </si>
  <si>
    <t>ч.1 гл.28 ст.356-363</t>
  </si>
  <si>
    <t>852</t>
  </si>
  <si>
    <t xml:space="preserve">1.ФЗ -146 от 31.07.98 г. (налоговый кодекс), 2.ФЗ -7 "Об охране окружающей среды" от 10.01.02 г. </t>
  </si>
  <si>
    <t>1.ч.1 гл.11 ст.75, 2. гл.4 ст.16</t>
  </si>
  <si>
    <t>1.01.01.99  г.- не ограничен, 2. с даты опубликования - не ограничен</t>
  </si>
  <si>
    <t>853</t>
  </si>
  <si>
    <t>2025 год</t>
  </si>
  <si>
    <t>243</t>
  </si>
  <si>
    <t>С даты заключения по 31.12.2022 г.</t>
  </si>
  <si>
    <t>01.01.99  г.- не ограничен</t>
  </si>
  <si>
    <t>2026 год</t>
  </si>
  <si>
    <t>ФЗ -146 от 31.07.98 г.                         (налоговый кодекс)</t>
  </si>
  <si>
    <t>ФЗ -146 от 31.07.98 г.                               (налоговый кодекс)</t>
  </si>
  <si>
    <t xml:space="preserve">Отчетный финансовый год  (2023) </t>
  </si>
  <si>
    <t>2027 год</t>
  </si>
  <si>
    <t>Дог. 84 от 9.01.23г, дог.84-Б2 от 9.01.23г,  дог. б/н, от 17.04.23г., дог. 5 от 16.05.23г., дог. ТТТ7033348591 от 9.03.23г., дог. GR11204676 от9.01.23г, дог.GR11205112 от 9.06.23г., дог.б/н от 12.01.23г.,  дог. №84 от 9.01.24г., дог.42301883412 от 08.02.24г, дог.К206133/24 от 10.07.24г, дог.1  от 16.04.24г, дог.6 от 12.04.24г, дог.ТТТ7053550434 от 4.03.24г, дог.1 от 25.06.24г, дог.GR11205507 от  13.12.23г, дог.GR11205112 от 09.06.23г, дог.GR 11206016 25 от 25.06.24г., дог.2 от 25.07.24г.</t>
  </si>
  <si>
    <t>2024 год (план)по состоянию на 28.12.2024г.</t>
  </si>
  <si>
    <t>Распоряжение руководителя, решения о командировании</t>
  </si>
  <si>
    <t>1.Решение Совета МО Крымский район от 21.12.2022г. № 279 "Об утверждении Положения об оплате труда муниципальных служащих органов местного самоуправления МО Крымский район".                                                                                                                                                 2.Решение Совета МО Крымский район от 23.05.2018г. №304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                                       3. Распоряжение председателя Совета МО Крымский район №27 от 23.09.2024г.</t>
  </si>
  <si>
    <t>1. 21.12.2022г.-не ограничен; 2 23.05.20218 - не ограничен      3.1 10.2024г.-не ограничен</t>
  </si>
  <si>
    <t>Сводный реестр расходных обязательств муниципального образования Крымский район</t>
  </si>
  <si>
    <t>к утвержденному бюджета на 2025 год и плановый период 2026 и 2027 годов</t>
  </si>
  <si>
    <t xml:space="preserve">Раздел 1. Расходные обязательства, возникшие в результате принятия нормативных правовых актов муниципального района , заключения договоров (соглашений) в рамках реализации вопросов местного значения муниципального района (реализация полномочий в соответствии со ст.14, ст.15, ст.17 Федерального закона от 6 октября 2003 года №131-ФЗ "Об общих принципах организации местного самоуправления в Российской Федерации" ) </t>
  </si>
  <si>
    <t>функционирование органов местного самоуправления</t>
  </si>
  <si>
    <t>ст.36</t>
  </si>
  <si>
    <t>01.01.09 г.-не ограничен</t>
  </si>
  <si>
    <t>02</t>
  </si>
  <si>
    <t>1.Устав МО Крымский район, принятый решением Совета МО Крымский район №175 от 26.04.2017 г., 2.решение Совета МО Крымский район № 370 от 19.12.2018 г.3.Решение Совета МО Крымский район от 23.05.2018г.№ 305"Об утверждении Положения об оплате труда лиц, замещающих муниципальные должности в органах местного самоуправления МО Крымский район" 4. решение Совета МО №279 от 21.12.2022г. "Об утвр.Положения об оплате труда, лиц замещающих муниципальные должности в органах местного самоуправления муниципального образования Крымский район"</t>
  </si>
  <si>
    <t xml:space="preserve">1.гл. 1 ст.7 , гл.5 ст.30, ст.33; 3.п.1; прил.1 ст.2
</t>
  </si>
  <si>
    <t>1.24.05.2017г.-не ограничен, 2.01.01.2019 г.-31.12.2019 г.3.01.06.2018г.- не ограничен                  4. с 1.01.2023г.-не ограничен</t>
  </si>
  <si>
    <t>1.Распоряжение руководителя (команд.расходы), 2. Указ  Президента РФ №1110 от 30.05.94 г. (с учетом изменеий) 3. 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</si>
  <si>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ст.168 ТК РФ</t>
  </si>
  <si>
    <t>1.2021г.             2.с даты опубликования-бессрочно            3. с даты опубликования -бессрочно</t>
  </si>
  <si>
    <t>1.НК РФ часть 1,2.Федеральный закон № 167-ФЗ от 15.12.2001г., 3.Федеральный закон № 27-ФЗ от 01.04.1996г., 4.Федеральный закон № 165-ФЗ от 16.07.99г. 5. "ЕНС". изменения внесены Федеральным законом от 14.07.2022 №263-ФЗ</t>
  </si>
  <si>
    <t>1. 01.01.99г. - не ограничен, 2.от 17.12.01г.- не ограничен, 3.01.01.97г.-не ограничен, 4.19.07.99г.-не ограгичен              5. с 1.01.23г. не ограничен</t>
  </si>
  <si>
    <t xml:space="preserve">1.Устав МО Крымский район, принятый решением Совета МО Крымский район №175 от 26.04.2017г., 2. решение Совета МО Крымский район от 04.04.2019г.№ 411 "О структуре администрации МО Крымский район", 3.Решение Совета МО Крымский район № 370 от 19.12.2018 г. </t>
  </si>
  <si>
    <t xml:space="preserve">1.гл. 2 ст.8 п.1, гл.5 ст.22 п.1 </t>
  </si>
  <si>
    <t>1.с 24.05.2017г.-не ограничен, 2. с 04.04.19 г.- не ограничен; 3.01.01.19 г. не ограничен</t>
  </si>
  <si>
    <t>04</t>
  </si>
  <si>
    <t>5110000190</t>
  </si>
  <si>
    <t>1.Решение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 2. Пост.администрации МО Крымский район №947 от 22.06.2018 г. "Положение об оплате труда работников органов местного самоуправления МО Крымский район, замещающих должности, не являющиеся должностями муниципальной службы МО Крымский район", 3.Пост.адм-ции МО Крымский район №2276 от 25.12.18 г. (с учетом изменений) 4.4. решение Совета МО №279 от 21.12.2022г. "Об утвр.Положения об оплате труда, лиц замещающих муниципальные должности в органах местного самоуправления муниципального образования Крымский район"</t>
  </si>
  <si>
    <t>с 01.06.2018г. -не ограничен; 2.с 01.06.2018 г.- не ограничен; 3. с 01.01.19 г.- не ограничен                  4. с 1.01.2023г.-не ограничен</t>
  </si>
  <si>
    <t>1.НК РФ часть 1,2.Федеральный закон № 167-ФЗ от 15.12.2001г., 3.Федеральный закон № 27-ФЗ от 01.04.1999г., 4.Федеральный закон № 165-ФЗ от 16.07.1999г. 5. "ЕНС". изменения внесены Федеральным законом от 14.07.2022 №263-ФЗ</t>
  </si>
  <si>
    <t>1.2021г.          , 2.с даты опубликования-бессрочно            3. с даты опубликования -бессрочно</t>
  </si>
  <si>
    <t>МК №08186000040190000860001 от 24.06.19 г., №126 от 14.08.19 г., №127 от 14.08.19г., №128 от 14.08.19г., №129 от 14.08.19 г., №130-132 от 15.08.19 г.,№133-136 от 16.08.19 г., №209 от 22.11.19 г., №210 от 22.11.19 г.</t>
  </si>
  <si>
    <t>С даты заключения по 31.12.2019г.</t>
  </si>
  <si>
    <t>1.Постановление № 414 от 01.03.2021г. (с учетом изменений)                      2.Заключенные договора согл. ст. 93 ч. 1 п. 1 №44-ФЗ от 05.04.2013г. (связь); ст. 93 ч. 1 п. 4 №44-ФЗ от 05.04.2013г. (дог.раз.характера); контракты (электронный аукцион)</t>
  </si>
  <si>
    <t>дог.БПБ/2024/8-38 от 29.12.23г.,бн от 27.03.24г.,бн от 17.06.24г, дог.11 от 20.01.23г.,дог.35 от 17.02.23г, дог.47 от 04.03.24г, длг.72 от 4.04.24г., дог.87 дог.15.05.24г., дог.100 от 18.06.24г, дог.1681 от 21.06.24г, дог.103 от 02.07.24г, дог.121 от 09.08.2024г, дог.217 от 9.01.24г., дог.23-51/9 от 16.02.24г., дог.3 от 30.01.24г, дог.79/40 от 06.03.24г, дог.50 от 19.03.24г, дог.85 от 13.05.24г, дог.124 от 22.07.24г, дог.2083022-0184033/24 от 9.04.24г, дог. 2083022-5124152/24 от 28.05.24г, дог.2083022-0184033/24 от 2.07.24г., дог.46 от 13.03.2024г, дог.97 от 5.06.24г., дог.104 от 26.06.24г, бн от 11.07.24г,  дог.132 от 12.08.24г, мк 0818600004023000037 от 20.06.23г., мк .0818600004024000082 от 21.06.24г, мк 0818600004023000114 от 18.12.23г, дог.227 от 15.12.23г., дог 2 от 10.01.24г, дог.1 9.01.24г.,дог14 от 22.02.24г, дог.30 от 21.02.24г</t>
  </si>
  <si>
    <t>1. с даты подписания - бессрочно       2.С даты заключения по 31.12.2024г.</t>
  </si>
  <si>
    <t>321</t>
  </si>
  <si>
    <t>1.Постановление № 414 от 01.03.2021г. (с учетом изменений)                                 2. 44 ФЗ от 05.04.2013г.</t>
  </si>
  <si>
    <t>ч.1 ст.93 п.8, п.29, п.4</t>
  </si>
  <si>
    <t>С даты заключения по 31.12.2023г.</t>
  </si>
  <si>
    <t>247</t>
  </si>
  <si>
    <t xml:space="preserve">Расходы по уплате госпошлины: решение Оплата за неосновательное обогащение </t>
  </si>
  <si>
    <t>В течение финансового года</t>
  </si>
  <si>
    <t>831</t>
  </si>
  <si>
    <t>ФЗ -146 от 31.07.98 г. (налоговый кодекс) н-г на имущ-во, зем.налог                        -ЕСН с 01.01.23г.</t>
  </si>
  <si>
    <t>ФЗ -146 от 31.07.98 г. (налоговый кодекс) трансп.н-г                                                       -ЕСН с 01.01.23г.</t>
  </si>
  <si>
    <t>1.ФЗ -146 от 31.07.98 г. (налоговый кодекс) пени, штрафы, 2. Реш. Съезда Совета МО №5 от 17.04.19г. (членские взн.) 3.штрафные санкции  по мк 47 от 16.01.23г, пеня по страх.взн. треб. №231723100162902 от 24.05.23г, неустойка №11-05/02 от 11.05.23г, траф № треб. 033S01225713355/2898 от 22.04.22г.,штраф за непредст.свед-й с/но требов №033S0122А00Х69Q/3058 от 06.09.22, штраф реш.№2165 от 24.08.23г, штрафные санкции мк 47 от 16.01.23г</t>
  </si>
  <si>
    <t>1.01.01.99  г.- не ограничен, 2. с даты опубликования - не ограничен      3. в течении 2024г.</t>
  </si>
  <si>
    <t xml:space="preserve">1.131-ФЗ от 06.10.03 г.                                     2.Решение Совета МО Крымский район от 25.04.2024 г. № 440  "О принятии органами местного самоуправления муниципального образования Крымский район части полномочий Крымского городского поселения Крымского района по решению вопросов местного значения в сфере архитектуры и градостроительной деятельности"
</t>
  </si>
  <si>
    <t>ч.4 ст.15 ФЗ</t>
  </si>
  <si>
    <t>5110100190</t>
  </si>
  <si>
    <t>Решения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t>
  </si>
  <si>
    <t>п.1</t>
  </si>
  <si>
    <t>с 01.06.2018г.-не ограничен</t>
  </si>
  <si>
    <t>НК РФ часть 1, 2.Федеральный закон №167-ФЗ от 15.12.2001г., 3. ФЗ №27-ФЗ от 01.04.1996г. 4. "ЕНС". изменения внесены Федеральным законом от 14.07.2022 №263-ФЗ</t>
  </si>
  <si>
    <t>1. 01.01.99г. Не ограничен 2. от 17.12.01г.-не ограничен 3. 01.01.97г. -не ограничен 4. 19.07.99г. 5. с 1.01.23г. не ограничен</t>
  </si>
  <si>
    <t>мк 0318300049924000041 от 12.12.24г, мк 0318300049924000042 от 12.12.24г., мк 0318300049924000044 от 12.12.24г., мк 0318300049924000043 от 16.12.24г., мк 0318300049924000044 от 16.12.24г., мк 0318300049924000045 от 16.12.24г., дог. 199 от 18.12.24г.</t>
  </si>
  <si>
    <t>С даты заключения по 31.12.2024г.</t>
  </si>
  <si>
    <t>12</t>
  </si>
  <si>
    <t>1.Распоряжение руководителя (командир.расходы)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</si>
  <si>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1.2022г.                           2.с даты опубликования -бессрочно                        3. с даты опубликования -бессрочно</t>
  </si>
  <si>
    <t>дог.23/51/9 от 16.02.24г., дог. 1269/Ккс-24/112 от 08.07.24г., мк0318300049924000026 от 13.08.24г., мк 0318300049924000025 от 16.07.24г</t>
  </si>
  <si>
    <t>07</t>
  </si>
  <si>
    <t>09</t>
  </si>
  <si>
    <t>Решение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t>
  </si>
  <si>
    <t>с 01.06.2018г.- не ограничен</t>
  </si>
  <si>
    <t>1.НК РФ часть 1, 2.Федеральный закон № 167-ФЗ от 15.12.01 г., 3.Федеральный закон № 27-ФЗ от 01.04.96 г., 4.Федеральный закон № 165-ФЗ от 16.07.99 г. 5."ЕНС". изменения внесены Федеральным законом от 14.07.2022 №263-ФЗ</t>
  </si>
  <si>
    <t>1. 01.01.99 г. - не ограничен, 2.от 17.12.01 г.- не ограничен, 3.01.01.97 г.-не ограничен, 4.19.07.99 г.-не ограгичен 5. с 1.01.23г. не ограничен</t>
  </si>
  <si>
    <t>1.Распоряжение руководителя (команд.расходы), 2. Указ  Президента РФ №1110 от 30.05.94 г. (с учетом изменеий)3.Постановление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</si>
  <si>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бн от 3.07.24г, бн от 4.04.24г, дог. 23-51/9 мк 0318300049924000004 от 27.02.24г.</t>
  </si>
  <si>
    <t>с даты заключения по 31.12.24 г.</t>
  </si>
  <si>
    <t>1.Распоряжение руководителя (команд.расходы), 2. 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</si>
  <si>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1,2.Федеральный закон № 167-ФЗ от 15.12.01 г., 3.Федеральный закон № 27-ФЗ от 01.04.96 г., 4.Федеральный закон № 165-ФЗ от 16.07.99 г. 5. "ЕНС". изменения внесены Федеральным законом от 14.07.2022 №263-ФЗ</t>
  </si>
  <si>
    <t>мк. 0318300049924000002 от 20.02.24г, дог. 23-51/9 от 16.02.24г, бн от 31.05.24г.,дог.1269/Ккс-24/112 от 8.07.24г.</t>
  </si>
  <si>
    <t>С даты заключения по 31.12.2024 г.</t>
  </si>
  <si>
    <t>08</t>
  </si>
  <si>
    <t>дог.23-51/9 от 16.02.24г., 52-04 от 15.03.24г, дог.1269/Ккс-24/112 от 8.07.24г.,мк.0318300049924000004 от 27.02.24г.</t>
  </si>
  <si>
    <t>11</t>
  </si>
  <si>
    <t>05</t>
  </si>
  <si>
    <t>дог.23-51/9 от 16.02.24г., 52-04 от 15.03.24г, дог.1269/Ккс-24/112 от 8.07.24г.,мк.0318300049924000002 от 20.02.24г.</t>
  </si>
  <si>
    <t>владение, пользование имуществом, находящимся в муниципальной собственности муниципального района</t>
  </si>
  <si>
    <t xml:space="preserve">131-Фз от 06.10.03 г. </t>
  </si>
  <si>
    <t>ст.15 п.1 п/п.3</t>
  </si>
  <si>
    <t xml:space="preserve">01.01.09 г.- не ограничен </t>
  </si>
  <si>
    <t>Устав МО Крымский район №175 от 26.04.2017г.</t>
  </si>
  <si>
    <t>гл. 2 ст.8 п.1 п/п. 3, гл.8 ст.71</t>
  </si>
  <si>
    <t>с 24.05.2017г.-не ограничен</t>
  </si>
  <si>
    <t>13</t>
  </si>
  <si>
    <t>5210120310</t>
  </si>
  <si>
    <t>дог.15Ю/24-20/25 от 14.02.24г, дог. 360-П-03-24048/51 от 29.03.24г., дог.129 от 05.08.24г.</t>
  </si>
  <si>
    <t>Расходы по уплате госпошлины</t>
  </si>
  <si>
    <t>Оплата расходов за судебную  экспертизу согл.опред. от 25.05.2023г.</t>
  </si>
  <si>
    <t>5210211000</t>
  </si>
  <si>
    <t>дог. КР-15-03514-23 от 4.03.24г., дог.1 16.01.23г.,дог.34 от 6.02.23г, дог. 10 от 01.02.24г, дог.5 от 5.02.24г, дог 17 от 5.03.24г, дог.6 от 5.02.24г</t>
  </si>
  <si>
    <t>дог.161/24 от 26.01.24г, дог.103/23 от 27.01.23г, дог.103/24 от 5.02.24г, дог.23910001142 от 30.10.23г, дог. 290910001142 от 5.02.24г.</t>
  </si>
  <si>
    <t>1.ФЗ -146 от 31.07.98 г. (налоговый кодекс) пени, штрафы</t>
  </si>
  <si>
    <t>1.Пост. 10 от 13.01.25г. "О приобретение в муниципальную собственность алминистрации мо Крымский район  Краснодарского края недвижимого имущества, расположенного по адресу: г. Крымск, ул. Коммунистическая, д.44      2.93 ФЗ                            3.Пост. адм 636 "Об утверждении Порядка осуществления  бюджетных инвестиций в сфере капитальных вложений в объекты муниципальной собственности"</t>
  </si>
  <si>
    <t>п.31 ч.1</t>
  </si>
  <si>
    <t>1.5.04.2013г. 2.9.03.2024г.</t>
  </si>
  <si>
    <t>5210211580</t>
  </si>
  <si>
    <t xml:space="preserve"> №44-ФЗ от 05.04.2013г. (дог.раз.характера); контракты (электронный аукцион)</t>
  </si>
  <si>
    <t>ч. 1 п. 1</t>
  </si>
  <si>
    <t>412</t>
  </si>
  <si>
    <t>дог. 203 от 9.01.23г, дог.15Ю/23-122 от 8.12.23г, дог.12 от 6.02.24г, дог.15Ю/24-19/24 от 14.02.24г., дог. 15ю/24-29/31 от 19.02.24г, дог.49 от 11.03,24г, дог.55 от 27.03.24г, дог.76 от 18.04.24г., дог.86 от 16.05.24г, дог.83 от 26.04.24г, дог.105 от 4.07.24г, дог.138 от 20.08.24г.</t>
  </si>
  <si>
    <t>с даты заключения по 31.12.24г.</t>
  </si>
  <si>
    <t>5210220310</t>
  </si>
  <si>
    <t>Расп.админ.МО Крымский район №53-р от 12.02.19 г.</t>
  </si>
  <si>
    <t>12.02.19 г.-31.12.19 г.</t>
  </si>
  <si>
    <t>5140029010</t>
  </si>
  <si>
    <t>350</t>
  </si>
  <si>
    <t>Решение совета МО Крымский район №485 от 18.12.2019г.</t>
  </si>
  <si>
    <t>с 01.01.21г.</t>
  </si>
  <si>
    <t>5140129010</t>
  </si>
  <si>
    <t>дог. 98 от 13.06.24г.</t>
  </si>
  <si>
    <t>С даты заключения по 31.12.24г.</t>
  </si>
  <si>
    <t>Расходы по уплате госпошлины: решение арб. суда</t>
  </si>
  <si>
    <t>1.исп.л. А32-25029/2019 по дог аренды 100014/08862Д на осн соглаш 100023/02686Д 25.05.2023</t>
  </si>
  <si>
    <t>В соотв.с датами исполн.листов до 31.12.2028г.</t>
  </si>
  <si>
    <t>дело № 32159/19/23046-ИП от 24.04.19г, дело № 81170/1923046-ИП от 05.09.19г, дело № 66657/21/23046-ИП от 28.07.21г, дело №9769/17/23046-ИП от 17.02.17г, дело №9759/17/23046-ИП от 17.02.17г,</t>
  </si>
  <si>
    <t>В соотв.с датами исполн.листов</t>
  </si>
  <si>
    <t>!!!</t>
  </si>
  <si>
    <t>1.ФЗ от 27 июля 2006 года № 149-ФЗ «Об информации, информационных технологиях и о защите информации», 2. МП «Информатизация МО Крымский район" 1.пост.№2003 от 07.10.2019 г. с учетом изменений.                                             2. Пост. №2084 от 29.07.2023г.</t>
  </si>
  <si>
    <t xml:space="preserve">1.с 01.01.2020г.-31.12.2024г.     2.с 01.01.25 по 31.12.2029гг.
</t>
  </si>
  <si>
    <t>2320110130</t>
  </si>
  <si>
    <t>заключенные договора согл. ст. 93 ч. 1 п. 1 №44-ФЗ от 05.04.2013г. (связь); ст. 93 ч. 1 п. 4 №44-ФЗ от 05.04.2013г. (дог.раз.характера); контракты (электронный аукцион)</t>
  </si>
  <si>
    <t>мк 0818600004022000229 от 16.01.23г., мк 0818600004023000091 от 27.11.23г, мк 0818600004023000066 от 12.09.23г, мк 0818600004023000112 от 11.12.23г, дог. 030-1-01-23/20/49С/215 15.12.23г., дог.06/К/ВЗС/СМЭВ/4759-15 от 19.02.24г.,дог.К050660/24 от 28.02.24г, мк 0818600004023000122 от 22.12.23г,  мк 0318300049924000010 от 25.04.24г.</t>
  </si>
  <si>
    <t>1.С даты заключения по 31.12.24г.</t>
  </si>
  <si>
    <t>1.ФЗ от 24 июля 2007 года № 209-ФЗ «О развитии малого и среднего предпринимательства в Российской Федерации»                   2.МП "Экономическое развитие и инновационная экономика"постановление №2158 от 29.10.19г.                         3. Пост. № 2001 от 25.07.22г.</t>
  </si>
  <si>
    <t>1. 01.01.2020г.-31.12.2024г.     2. 01.01.2025-31.12.2029гг.</t>
  </si>
  <si>
    <t>1430110180</t>
  </si>
  <si>
    <t>дог.8 от 26.01.24г, дог.18 от 15.02.24г, дог.75 от 11.04.24г, дог.80 от 10.04.24г</t>
  </si>
  <si>
    <t>1.МП "Комплексное и устойчивое развитие Крымского района в сфере строительства, архитектуры и дорожного хозяйства" пост №2276 от 15.11.19г. (0640100330 Мероприятия в области архитектуры, строительства и градостроительства), 2. Пост.2158 от 29.07.2022г.</t>
  </si>
  <si>
    <t xml:space="preserve">1.с 01.01.20г.-31.12.24г.                   2. с 01.01.2025-31.12.2029гг.      </t>
  </si>
  <si>
    <t>0640010330</t>
  </si>
  <si>
    <t>мк 0818600004023000048 от 23.08.23г, мк 0818600004023000048 от 23.08.23г.</t>
  </si>
  <si>
    <t>06400S2560</t>
  </si>
  <si>
    <t>06400S2570</t>
  </si>
  <si>
    <t>1.С даты заключения.</t>
  </si>
  <si>
    <t>06400S3500</t>
  </si>
  <si>
    <t>1.С даты заключения по 31.12.25г.</t>
  </si>
  <si>
    <t>06400R5990</t>
  </si>
  <si>
    <t>дорожная деятельность в отношении автомобильных дорог местного значения вне границ населенных пунктов в границах МО Крымский район, осуществление муниципального контроля за сохранностью автомобильных дорог местного значения вне границ населенных пунктов в границах МО Крымский район,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</si>
  <si>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1.№131-ФЗ от 06.10.06 г., 2.Устав МО Крымский район №175 от 26.04.2017г.</t>
  </si>
  <si>
    <t>1. Ст.15 п.1п/п5, 2.гл. 2 ст.8 п.1 п/п. 5</t>
  </si>
  <si>
    <t>1.01.01.09 г.-не ограничен, 2.с 24.05.2017г.-не ограничен</t>
  </si>
  <si>
    <t>МО "Капитальный ремонт и ремонт автомобильных дорог муниципального значения" пост. №2740 от 20.09.21г. (Новая МП с 2022г) 2.Пост.2158 от 29.07.2022г.</t>
  </si>
  <si>
    <t>мк 0818600004023000117 от 19.12.23г., мк 0818600004023000126 от 19.12.23г, мк 0818600004024000091 от 17.05.24г.</t>
  </si>
  <si>
    <t>1.С 01.01.22г.-по 31.12.24г.  2. 01.01.2025-31.12.2029гг.    3.С даты заключения по 31.12.24 г.</t>
  </si>
  <si>
    <t>0810110340</t>
  </si>
  <si>
    <t>Капитальный ремонт, ремонт и содержание автомобильных дорог общего пользования и искусственных дорожных сооружений на них</t>
  </si>
  <si>
    <t>в течении финансового года</t>
  </si>
  <si>
    <t>081019Д010</t>
  </si>
  <si>
    <t>МП Крымского района "Повышение безопасности дорожного движения на территории МО Крымский район" пост №2273 от 15.11.19 г. (0710010240 изгот-ие материалов по БДД), 2.Пост.2158 от 29.07.2022г.</t>
  </si>
  <si>
    <t>дог.134 от 20.08.2024г.</t>
  </si>
  <si>
    <t>1. С 01.01.20г.-по 31.12.24г.    2. с 01.01.2025-31.12.2029гг.</t>
  </si>
  <si>
    <t>0710010240</t>
  </si>
  <si>
    <t>071009Д020</t>
  </si>
  <si>
    <t>Муниципальная программа муниципального образования Крымский район "Муниципальная политика и развитие гражданского общества"</t>
  </si>
  <si>
    <t>1.131-ФЗ от 06.10.03 г., 2. Устав МО Крымский район №175 от 26.04.2017г.</t>
  </si>
  <si>
    <t>1. ст.15 п.1 п/п.6.1., 2.гл. 2 ст.8 п.1 п/п. 28</t>
  </si>
  <si>
    <t>1.  01.01.09 г.- не ограничен; 2.с 24.05.2017г.-не ограничен</t>
  </si>
  <si>
    <t>дог.42 от 17.02.23г, дог 49 от 07.03.23г, дог.172 от 05.10.23г, дог.236 от 25.12.23г</t>
  </si>
  <si>
    <t>С даты заключения по 31.12.24 г.</t>
  </si>
  <si>
    <t>1610110100</t>
  </si>
  <si>
    <t>Оплата ежегодных членских взносов за 2024г, согласно Съезда Совета №4 от 27.02.2024г.</t>
  </si>
  <si>
    <t>в 1 квартале финансового года</t>
  </si>
  <si>
    <t>1620210920</t>
  </si>
  <si>
    <t>Муниципальная программа муниципального образования Крымский район "Обеспечение безопасности населения"</t>
  </si>
  <si>
    <t xml:space="preserve">1. №131-ФЗ от 06.10.03 г., 2.Устав МО Крымский район №175 от 26.04.2017г. </t>
  </si>
  <si>
    <t xml:space="preserve">1. ст.15 п.1 п/п7; 2. гл. 2 ст.8 п.20       </t>
  </si>
  <si>
    <t>1. с 01.01.09 г.- не ограничен, 2. с 24.05.2017г.-не ограничен</t>
  </si>
  <si>
    <t>0910110080</t>
  </si>
  <si>
    <t>дог. 24-01-00-0804-00036-ЭД-44-ФЗ от 16.05.24г, дог.23-241-00131 от 17.01.24г, дог.23-242-00495 от 16.04.24г, дог.033-РЧ/24/115 от 03.0.24г, дог.23-243-00703 от 01.07.24г, дог.23-243-00831 от 11.07.24г.</t>
  </si>
  <si>
    <t>10</t>
  </si>
  <si>
    <t xml:space="preserve">дог.23-221-00138 14.01.2023г.г, дог.23-222-00502 от 11.04.2023г.
</t>
  </si>
  <si>
    <t>С даты заключения по 31.12.23г.</t>
  </si>
  <si>
    <t>245</t>
  </si>
  <si>
    <t xml:space="preserve">1. 131-ФЗ от 06.10.03 г., 2.Устав МО Крымский район №175 от 26.04.2017г. </t>
  </si>
  <si>
    <t>1. ст.15 п.1 п/п 8, 2.гл. 2 ст.8 п.1 п/п. 8</t>
  </si>
  <si>
    <t>1. 01.01.09 г.- не ограничен, 2.с 24.05.2017г.-не ограничен</t>
  </si>
  <si>
    <t>МП «Обеспечение безопасности населения» (0940109560 мероприятия по укреплению правопорядка, профилактика правонарушений, усиление борьбы с преступностью) , пост.адм. №2275 от 15.11.19г.;                                            2. № 2157 от
29.07.2022</t>
  </si>
  <si>
    <t>с 01.01.20г.-31.12.24г.   2. с 01.01.2025-31.12.2029гг.</t>
  </si>
  <si>
    <t>0940109560</t>
  </si>
  <si>
    <t>бн от 27.06.24г, дог.106 от 02.07.24г, дог.104 от 26.06.24г, дог.108 от 02.07.24г., дог.114 от 02.07.24г.</t>
  </si>
  <si>
    <t>Муниципальная программа Крымского района "Организация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</si>
  <si>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МП «Организация экологического воспитания и формирования экологической культуры в области обращения с твердыми коммунальными отходами на территории муниципального образования Крымский район» на 2022-2024 годы №698 от 28.03.2022г.   2. Пост. № 2075
от 29.07.2022</t>
  </si>
  <si>
    <t xml:space="preserve">1. с 01.01.2022-31.12.2024гг.     2. с 01.01.2025-31.12.2029гг. </t>
  </si>
  <si>
    <t>1110010661</t>
  </si>
  <si>
    <t>Муниципальная программа муниципального образования Крымский район "Казачество Крымского района"</t>
  </si>
  <si>
    <t>1.МП "Казачество Крымского района" пост.2225 от 20.12.18г., 2. № 2094 от 29.07.2022</t>
  </si>
  <si>
    <t xml:space="preserve">1.согл бн от 9.01.2023г                            2. Согл.заявке № 1 от 12.01.23г, №14 от 13.02.23г, №13 от 07.02.23г, №20 от 03.03.23г, № 29 от 05.04.23г, № 33 от 27.04.23г, № 37 от 19.05.23г, № 45 от 7.07.23г, № 51 от 01.08.23г, № 61 от 06.09.23, № 72 от 06.10.23г.                           </t>
  </si>
  <si>
    <t>1.с 01.01.20 г.-31.12.24 г.,     2. с 01.01.2025-31.12.2029гг   3.С даты заключения по 31.12.24 г.</t>
  </si>
  <si>
    <t>1710111320</t>
  </si>
  <si>
    <t>633</t>
  </si>
  <si>
    <t>Муниципальная программа муниципального образования Крымский район "Экономическое развитие и инновационная экономика"</t>
  </si>
  <si>
    <t>1.№ 131-ФЗ от 06.10.03 г., 2.Устав МО Крымский район №175 от 26.04.2017г.</t>
  </si>
  <si>
    <t>1. ст.15 п.1 п/п 25, 2.гл. 2 ст.8 п.1 п/п. 15</t>
  </si>
  <si>
    <t>1. 01.01.2009 г.- не ограничен, 2.с 24.05.2017г.-не ограничен</t>
  </si>
  <si>
    <t>1.МП Крымского района "Экономическое развитие и инновационная экономика" (1410110040 подпрограмма "Муниципальная поддержка малого и среднего предпринимательства) Развитие субъектов малого и среднего предпринимательства)) пост.№2158 от 29.10.19г.      2 Пост.№ 2001 от 25.07.2022</t>
  </si>
  <si>
    <r>
      <rPr>
        <b/>
        <sz val="9"/>
        <rFont val="Times New Roman"/>
        <family val="1"/>
        <charset val="204"/>
      </rPr>
      <t>1.01.01.20 г.-31.12.24 г.,  2. с 01.01.2025-31.12.2029гг.</t>
    </r>
    <r>
      <rPr>
        <sz val="9"/>
        <rFont val="Times New Roman"/>
        <family val="1"/>
        <charset val="204"/>
      </rPr>
      <t xml:space="preserve">           </t>
    </r>
    <r>
      <rPr>
        <sz val="10"/>
        <rFont val="Times New Roman"/>
        <family val="1"/>
        <charset val="204"/>
      </rPr>
      <t>3. с даты заключения по 31.12.24 г.</t>
    </r>
  </si>
  <si>
    <t>1410110040</t>
  </si>
  <si>
    <t>Муниципальная программа Крымского района "Развитие сельского хозяйства и регулирование рынков сельскохозяйственной продукции"</t>
  </si>
  <si>
    <t xml:space="preserve">1.МП Крымского района "Развитие сельского хозяйства и регулирование рынков сельскохозяйственной продукции" (2410110060)-мероприятия "День Урожая", пост.№2245 от 28.07.21 г. 
</t>
  </si>
  <si>
    <t xml:space="preserve">п.1
</t>
  </si>
  <si>
    <t xml:space="preserve">с 01.01.22г. по 31.12.24г.        2. с 01.01.2025-31.12.2029гг.
</t>
  </si>
  <si>
    <t>2410110060</t>
  </si>
  <si>
    <t>мк 0818600004024000002 от 26.02.24г.</t>
  </si>
  <si>
    <t>Муниципальная программа муниципального образования Крымский район "Формирование условий для духовно-нравственного развития граждан"</t>
  </si>
  <si>
    <t>МП "Формирование условий для духовно-нравственного развития граждан" (1810110300 муниципальная поддержка социально ориентированных некоммерческих  и общественных организаций), пост.2000 от 23.11.18г., изм.№3088 от 31.12.20г., № 3935 от 30.12.2022г.</t>
  </si>
  <si>
    <t>1. с 01.01.20г. -по 31.12.24г.  2. с 01.01.2025-31.12.2029гг.</t>
  </si>
  <si>
    <t>1810110300</t>
  </si>
  <si>
    <t>Соглашение N б/н от 19.03.2024</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</si>
  <si>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района</t>
  </si>
  <si>
    <t>1. 131-ФЗ от 06.10.03 г., 2.Устав МО Крымский район №175 от 26.04.2017г.</t>
  </si>
  <si>
    <t xml:space="preserve">1. Ст.15 п.1 п/п 23, 2.гл. 2 ст.8 п.1 п/п.30         </t>
  </si>
  <si>
    <t>1.01.01.09 г.- не ограничен, 2.с 24.05.2017г.-не ограничен</t>
  </si>
  <si>
    <t>9900011530</t>
  </si>
  <si>
    <t>дог.20 от 01.02.24г, дог.57 от 22.03.24г, дог.88 от 31.05.24г, дог. 126 от 19.07.24г, дог.130 от 08.08.24г.</t>
  </si>
  <si>
    <t>1.131-ФЗ от 06.10.03 г., 2.Устав МО Крымский район №175 от 26.04.2017г.</t>
  </si>
  <si>
    <t xml:space="preserve">1. ст.15 п.16;  2 Гл.2, ст.8 п.1 п/п.13  </t>
  </si>
  <si>
    <t>1. МП МО Крымский район "Муниципальная политика и развитие гражданского общества", пост.№2352 от 29.12.18г.      2. Пост.№ 2073 от 27.07.2022г.</t>
  </si>
  <si>
    <t>мк. 0818600004023000005
от 13.03.23г., дог.177 от 19.11.21г, дог.22/Ц-20111 от 20.01.23г, дог.99 от 05.07.23г, дог.138 от 18.08.23г, дог. 187 от 30.10.23г.</t>
  </si>
  <si>
    <t>1.с 01.01.20г. -по 31.12.24г.,          2. с 01.01.2025-31.12.2029 гг.                  3.с даты заключения по 31.12.24г.</t>
  </si>
  <si>
    <t>1630110610</t>
  </si>
  <si>
    <t>финансирование муниципальных учреждений</t>
  </si>
  <si>
    <t>1.№131-ФЗ от 06.10.03 г., 2.Устав МО Крымский район №175 от 26.04.2017г.</t>
  </si>
  <si>
    <t>1. ст.17 ,2.гл. 2 ст.10 п.1 п/п. 3</t>
  </si>
  <si>
    <t>1.01.01.09 г. -не ограничен, 2.с 24.05.2017г.-не ограничен</t>
  </si>
  <si>
    <t xml:space="preserve">1. Устав МКУ "Административно-хозяйственное управление МО Крымский район", утв. постановлением администрации МО Крымский район № 2158 от 30.09.14г. </t>
  </si>
  <si>
    <t>30.09.14г.-не ограничен</t>
  </si>
  <si>
    <t>5150000590</t>
  </si>
  <si>
    <t xml:space="preserve">1.Положение об оплте труда работников муниципальных учреждений МО Крымский район, утв.постановлением администр. МО Крымский район от 22.06.18 г.№946, 2.Пост.адм. №1245 от 09.07.19 г., 3. Приказ МКУ "АХУ"№310-о от 08.12.17 г. "Об утверждении Положения об оплате труда работников учреждения" </t>
  </si>
  <si>
    <t>1.01.06.18 г.-не ограничен, 2.09.07.19 г.- не ограничен, 3.с даты подписания - не ограничен</t>
  </si>
  <si>
    <t>111</t>
  </si>
  <si>
    <t>112</t>
  </si>
  <si>
    <t>1НК РФ часть 1, 2.Федеральный закон № 167-ФЗ от 15.12.2001 г., 3.Федеральный закон № 27-ФЗ от 01.04.1996 г., 4.Федеральный закон № 165-ФЗ от 16.07.1999 г. 5. "ЕНС". изменения внесены Федеральным законом от 14.07.2022 №263-ФЗ</t>
  </si>
  <si>
    <t>1. 01.01.99г. - не ограничен, 2.от 17.12.01г. - не ограничен, 3.01.01.97г. -не ограничен, 4.19.07.99г.-не ограгичен 5. с 1.01.23г. не ограничен</t>
  </si>
  <si>
    <t>119</t>
  </si>
  <si>
    <t xml:space="preserve"> ст. 93 ч. 1 п. 4 №44-ФЗ от 05.04.2013г. (дог.раз.характера); контракты (электронный аукцион)</t>
  </si>
  <si>
    <t>дог. 25 от 7.05.24г.,дог. 82-I от 10.01.23г, дог. 82 от 10.01.23г, дог КР-15-00245-23 от 30.01.23г, дог 1366 от 15.02.23г, дог КР-15-00450-23 от 27.02.23г, 1347 от 20.02.23г,  дог 3 от 18.01.23г, дог б/н от 18.01.23г, дог 6 от 17.02.23г, дог 8 от 22.02.23г, дог 7 от 15.02.23г, дог 9 от 27.02.23г, дог 13 от 28.02.23г , дог 14 от 28.02.23г, дог 15 от 28.02.23г, дог 16 от 28.02.23г, дог 11 от 28.02.23г, дог 12 от 28.02.23г, дог 17 от 14.03.23г, дог 1208-23022801 от 13.03.23г, дог 39-23-00365 от 27.03.23г, дог 287 от 14.06.23г, мк 08186000040210003970001 от 25.12.21г, мк 0818600004022000219 от 23.12.22г. , дог 18 от 04.05.23г. дог 20 от 16.05.23г.</t>
  </si>
  <si>
    <t>Дело №А32-39418/17 от 31.10.2017г.</t>
  </si>
  <si>
    <t>ФЗ -146 от 31.07.98 г. (налоговый кодекс)</t>
  </si>
  <si>
    <t>01.01.99  г.- не ограничег</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</si>
  <si>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</si>
  <si>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п. 9, п.8, п.4</t>
  </si>
  <si>
    <t>1.01.01.99г.- не ограничен,               2.с даты опубликования - не ограничен</t>
  </si>
  <si>
    <t xml:space="preserve">1. Устав МКУ "УЗР", утв. постановлением администрации МО Крымский район №305 от 12.05.16г. </t>
  </si>
  <si>
    <t>12.05.16 г.- не ограничен</t>
  </si>
  <si>
    <t>5210100590</t>
  </si>
  <si>
    <t>1.Положение об оплате труда работников муниципальных учреждений МО Крымский район, утв.постановлением администр. МО Крымский район от 22.06.18 г.№946, 2.Приказ МКУ "УЗР" №5 от 04.02.19 г. "Об утверждении положения об оплате труда работников" 3.Приказ №2 от 01.02.19 г.</t>
  </si>
  <si>
    <t>1.01.06.18г.-не ограничен, 2. 04.02.19г.- не ограничен, 3. даты подписания - не ограничен</t>
  </si>
  <si>
    <t>1.НК РФ часть 1,2.Федеральный закон № 167-ФЗ от 15.12.2001 г., 3.Федеральный закон № 27-ФЗ от 01.04.1996 г., 4.Федеральный закон № 165-ФЗ от 16.07.99 г. 5. "ЕНС". изменения внесены Федеральным законом от 14.07.2022 №263-ФЗ</t>
  </si>
  <si>
    <t>1. 01.01.99г. - не ограничен, 2.от 17.12.01г.- не ограничен, 3.01.01.97г.-не ограничен, 4.19.07.99г.-не ограгичен 5. с 1.01.23г. не ограничен</t>
  </si>
  <si>
    <t xml:space="preserve"> ст. 93 ч. 1 п. 4 №44-ФЗ от 05.04.2013г. (дог.раз.характера)</t>
  </si>
  <si>
    <t>дог.06/ПДУ/СМЭВ/6712 от 26.08.24г, дог.1 от26.06.24г, дог.КР-15-03530-23 от 10.01.24г, дог. ТКДЭ-23-1039 от 9.02.21г, дог.680 от 11.01.23г, дог.680-Б2 от 11.01.23г, бн от 15.01.24г, бн 17,01.24г, дог.042/2024-КРД от 25.01.24г, дог.680 от 25.01.24</t>
  </si>
  <si>
    <t>С даты подписания-31.12.24г.</t>
  </si>
  <si>
    <t>ФЗ -146 от 31.07.98 г. (налоговый кодекс) трансп.н-г</t>
  </si>
  <si>
    <t xml:space="preserve">1.01.01.99г.- не ограничен, 2.с даты опубликования - не ограничен </t>
  </si>
  <si>
    <t xml:space="preserve">1. Устав МКУ "УУСЗ", утв. постановлением администрации МО Крымский район №1396 от 08.08.17г. </t>
  </si>
  <si>
    <t>08.08.17 г.-не ограничен</t>
  </si>
  <si>
    <t>5140000590</t>
  </si>
  <si>
    <t>1.Положение об оплате труда работников муниципальных учреждений МО Крымский район, утв.постановлением администр. МО Крымский район от 22.06.18 г.№946,2.Устав МКУ "УУСЗ"(с учетом изменений от 12.03.19 г.),3. Приказ МКУ "УУСЗ" от 27.11.19 г.№92 "Об утверждении положения об оплате труда работников"</t>
  </si>
  <si>
    <t>1.01.06.18 г.-не ограничен, 2.12.03.19 г.- не ограничен, 3.даты подписания - не ограничен</t>
  </si>
  <si>
    <t>1.НК РФ часть 1,2.Федеральный закон № 167-ФЗ от 15.12.2001 г., 3.Федеральный закон № 27-ФЗ от 01.04.1996 г., 4.Федеральный закон № 165-ФЗ от 16.07.1999 г. 5. "ЕНС". изменения внесены Федеральным законом от 14.07.2022 №263-ФЗ</t>
  </si>
  <si>
    <t xml:space="preserve">1. 01.01.99 г. - не ограничен, 2.от 17.12.01 г.- не ограничен, 3.01.01.97 г.-не ограничен, 4.19.07.99 г.-не ограгичен 5. с 1.01.23г. не ограничен </t>
  </si>
  <si>
    <t>дог 107-Б1 от 10.01.23г, дог 107-Б1 от 22.01.24г, дог 107-Б2 от 09.01.23г, дог ТУС-13/2024 от 12.01.2024, дог 1 от 12.02.24г., дог 104/1-К от 13.03.23г,</t>
  </si>
  <si>
    <t>ФЗ -146 от 31.07.98г. (налоговый кодекс)</t>
  </si>
  <si>
    <t xml:space="preserve">1.ФЗ -146 от 31.07.98г. (налоговый кодекс), 2.ФЗ -7 "Об охране окружающей среды" от 10.01.02г. </t>
  </si>
  <si>
    <t>1.Устав МКУ ЦБ органов местного самоуправления, утв. пост адм МО Крымский р-н от 07.12.17 г.№2126 2. Решение совета №485 от 18.12.19г. (о бюджете на 2020-22гг)</t>
  </si>
  <si>
    <t>1.07.12.17 г.- не ограничен; 2. 01.01.2020 г.-31.12.2022 г.</t>
  </si>
  <si>
    <t>5140200590</t>
  </si>
  <si>
    <t>1.Положение об оплате труда работников муниципальных учреждений МО Крымский район, утв.постановлением адм. МО Крымский район от 22.06.18 г.№946, 2.Приказ №37 от 29.12.18 г.(с учетом изм от 30.04.19 г.)</t>
  </si>
  <si>
    <t>1.01.06.2018 г.- не ограничен, 2.01.01.19г.-не ограничен</t>
  </si>
  <si>
    <t>1.Распоряжение руководителя (команд.расходы), 2.Указ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</si>
  <si>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 2.Федеральный закон № 167-ФЗ от 15.12.01 г., 3.Федеральный закон № 27-ФЗ от 01.04.1996 г., 4.Федеральный закон № 165-ФЗ от 16.07.1999 г. 5."ЕНС". изменения внесены Федеральным законом от 14.07.2022 №263-ФЗ</t>
  </si>
  <si>
    <t>дог.8 от 11.04.23г, дог.1457980818 от 09.01.23г, дог.14579808,18-Б2 от 9.01.23г, дог.22 от 20.12.23г, дог.23 от 20.12.23г, дог.ДП-000158 от 12.12.23г, дог.001-121 ЮПС от 12.01.24г, дог.1 от 16.01.24г, дог.14579808.18 от 19.01.24г, дог.25/2024 от 18.01.24г, дог.2 от 24.01.24г, бн от 22.01.24г, дог.26 999/о от 13.03.24г, дог.7230/24 от 01.03.24г, дог.3 от 21.03.24</t>
  </si>
  <si>
    <t>1.Устав МКУ ЦБ, утв.пост.адм.МО Крымский р-н №2125 от 07.12.17 г., 2. Мун.прогр. "Управление муниципальными финансами МО Крымский район", утв.пост.№2155 от 12.12.17 г.</t>
  </si>
  <si>
    <t>1.13.12.17г.- не ограничен; 2. 01.01.18 г.-31.12.20 г.</t>
  </si>
  <si>
    <t>5140300590</t>
  </si>
  <si>
    <t>1.Положение об оплате труда работников муниципальных учреждений МО Крымский район, утв.постановлением адм. МО Крымский район от 22.06.18г.№946, 2.Положение об оплате труда - приложение к коллект.договору №28-18 от 28.03.18г., 3.Приказ №74-од от 01.07.19г. "Об утверждении штатного расписания"</t>
  </si>
  <si>
    <t>1.01.06.18г.- не ограничен; 2.28.03.18г.- не ограничен; 3. 01.07.19г.-не ограничен</t>
  </si>
  <si>
    <t>1.Распоряжение руководителя (команд.расходы),   2.Указ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</si>
  <si>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1,2.Федеральный закон № 167-ФЗ от 15.12.01г., 3.Федеральный закон № 27-ФЗ от 01.04.96г., 4.Федеральный закон № 165-ФЗ от 16.07.99г. 5."ЕНС". изменения внесены Федеральным законом от 14.07.2022 №263-ФЗ</t>
  </si>
  <si>
    <t>закл.дог. Согл. ст. 93 ч. 1 п. 4 №44-ФЗ от 05.04.2013г. (дог.раз.характера); контракты (электронный аукцион)</t>
  </si>
  <si>
    <t>дог 43 от 10.01.23г, дог 017558574 от 10.01.23г, дог 43-Б2 от 10.01.23г, дог 43 от 10.01.23г, дог К026140/23 от 02.02.23г, дог 0001-06ЮСТС от 11.01.23г, дог КР-15-01677-22 от 01.07.22г, дог КР-15-03869-22 от 10.01.23г, дог 31 от 10.01.23г, дог 276 от 09.01.23г, дог 58 от 02.02.23г, дог 114-К от 9.01.23г, мк 0818600004022000228 от 08.01.23г, дог 23П-344 от 13.02.23г,</t>
  </si>
  <si>
    <t>с 01.01.24г.-31.12.2024г</t>
  </si>
  <si>
    <t>дог 1806 от 10.01.23г, дог 1806 от 10.01.24г</t>
  </si>
  <si>
    <t>01.01.99г.- не ограничег</t>
  </si>
  <si>
    <t>1.01.01.99г.- не ограничен, 2.с даты опубликования - не ограничен, 3.с даты вступления в силу по 31.12.21г</t>
  </si>
  <si>
    <t>1. 131-ФЗ от 06.10.03 г., 2.Устав МО Крымский район №175 от 26.04.2017г. 3.Устав МКУ "Управление строительного контроля", утвержденный пост.администрации МО Крымский район №838 от 05.05.14 г.</t>
  </si>
  <si>
    <t xml:space="preserve">1.ст.17 п.1 п/п3,  2.Гл.2 ст.10п.1 п/п3 </t>
  </si>
  <si>
    <t>1. 01.01.09 г.- не ограничен, 2.24.05.17 г.-не ограничен, 2. 05.05.14 г.-не ограничен</t>
  </si>
  <si>
    <t>0630100590</t>
  </si>
  <si>
    <t>1.Положение об оплате труда работников муниципальных учреждений МО Крымский район, утв.постановлением адм. МО Крымский район от 22.06.18 г.№946, 2.Приказ №72-16от 22.12.16 г. "Об утверждении положения об оплате труда" 3.Приказ №46 п от 15.08.19 г.</t>
  </si>
  <si>
    <t>1.01.06.18-не ограничен, 2.01.01.17 г.- не ограничен, 3.16.08.19 г.- не ограничен</t>
  </si>
  <si>
    <t>1.НК РФ часть 1, 2.Федеральный закон № 167-ФЗ от 15.12.2001 г., 3.Федеральный закон № 27-ФЗ от 01.04.1996 г., 4.Федеральный закон № 165-ФЗ от 16.07.1999 г. 5."ЕНС". изменения внесены Федеральным законом от 14.07.2022 №263-ФЗ</t>
  </si>
  <si>
    <t>1.Распоряжение руководителя (команд.расходы),  2.Указ  Президента РФ №1110 от 30.05.94г.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</si>
  <si>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дог. 13/02 от 13.02.23г., дог. 2703 от 27.03.23г.</t>
  </si>
  <si>
    <t>с даты заключения-31.12.24г.</t>
  </si>
  <si>
    <t>дог. 10 от 30.01.24г, дог. 23 от 26.08.24г,дог. 13/02 от 13.02.23г, дог 27/03 от 27.03.23г, дог 450 от 18.01.23г, дог 450-Б2 от 18.01.23г,  дог 43 от 24.01.23г, дог 43 от 26.01.23г, дог 2 от 18.01.23, дог 3 от 18.01.23г, дог ТФ11.1-54/21-195д/23 от 23.01.23г, дог 87 от 27.04.23г, дог 14 от 27.06.23г, дог 4 от 18.01.23г, дог 32/2023 от 20.01.23г, дог 471515819 от 23.01.23г, дог 23-19 от 17.03.23г, дог 9 от 23.03.23г, дог К23-10 от 23.03.23г, дог 23-24 от 03.04.23г, дог 612/Кк-23 от 27.04.23г, дог 3277 от 27.04.23г, дог 23-41 от 01.06.23г, дог 61 от 20.06.23г, дог 558/2023 от 04.07.23г, до ТТТ7031170042 от 24.01.23г.,дог 948/2318086550 от 01.02.23г, дог 12 от 19.04.23г,  дог 5 от 20.01.23г, дог 9 от 14.02.23г, дог 10 от 23.03.23г, дог 19 от 22.03.23г, дог 13 от 01.06.23г,дог СГ1-004094 от 20.06.23г.,дог 1 от 18.01.23г, мк 081860000040230000035 от 20.06.23г, дог 6 от 26.01.23г, дог 8 от 06.02.23г, дог 9 от 14.02.23г, дог 12 от 22.05.23г, дог 13 от 01.06.23г, дог 219 от 20.01.22г, дог 219 от 18.01.23г, дог 25-11-01632/23 от 18.01.23г</t>
  </si>
  <si>
    <t>ст. 93 ч. 1 п. 1 №44-ФЗ от 05.04.13г.; ст. 93 ч. 1 п. 4 №44-ФЗ от 05.04.13г.</t>
  </si>
  <si>
    <t>закл.дог.согл. ст. 93 ч. 1 п. 1 №44-ФЗ от 05.04.2013г</t>
  </si>
  <si>
    <t>п. 4, п.8, п. 29</t>
  </si>
  <si>
    <t>01.01.99г.- не ограничен</t>
  </si>
  <si>
    <t>1.ФЗ -146 от 31.07.98г. (налоговый кодекс), 2.ФЗ -7 "Об охране окружающей среды" от 10.01.02г., 3.Положение о членстве в Союзе "Саморегулируемая организация "Краснодарские строители", утвержд.общим собр.членов прот.№19 от 25.04.17г., 4.Положение о членстве в Союзе "Саморегулируемая организация "Краснодарские проектировщики", в том числе о размере, порядке расчета, а также порядке уплаты вступительного взноса, членских взносов", утв.реш.общего собр.членов Союза от 29.03.18 г.</t>
  </si>
  <si>
    <t>1.01.01.99г.- не ограничен, 2.с даты опубликования - не ограничен, 3.с даты утверждения - до внесения изменений, 4.с даты утверждения - до внесения изменений, 5.в течение фин.года</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</si>
  <si>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</si>
  <si>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1.№131-ФЗ от 06.10.03 г. 2.Устав МО Крымский район №175 от 26.04.2017г. 3.МП «Информационное обеспечение и информирование граждан о деятельности органов местного самоуправления МО Крымский район», утв.пост.администр.МО № 1843 от 19.09.19г., 4. Пост. № 2029 от 27.07.2022</t>
  </si>
  <si>
    <t>1.ст.17 п.1 п/п.7, 2.гл. 2 ст.10 п.1 п/п. 8</t>
  </si>
  <si>
    <t>1. с 01.01.09г. -не ограничен, 2.с 24.05.17г.-не ограничен, 3.01.01.20г.-31.12.24г. 4. с 01.01.2025-31.12.2029гг.</t>
  </si>
  <si>
    <t>2210010260</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</si>
  <si>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МО, преобразования МО</t>
  </si>
  <si>
    <t xml:space="preserve">1. 131-ФЗ от 06.10.03 г., 2.Устав МО Крымский район №175 от 26.04.2017г.
</t>
  </si>
  <si>
    <t>1.ст.17 п.1 п/п 5, 2.гл.2 ст.10п.1  п/п6, гл.4 ст.12</t>
  </si>
  <si>
    <t>1.01.01.09 г.-бессрочно, 2.24.05.17 г.-не ограничен</t>
  </si>
  <si>
    <t>9910010320</t>
  </si>
  <si>
    <t xml:space="preserve">Решение территориальной избирательной комиссии Крымская </t>
  </si>
  <si>
    <t>47 ЗКК</t>
  </si>
  <si>
    <t>ст.7</t>
  </si>
  <si>
    <t>200</t>
  </si>
  <si>
    <t>Резервный фонд местных администраций</t>
  </si>
  <si>
    <t>1.131-ФЗ от 06.10.03г., 2.Устав МО Крымский район №175 от 26.04.17г., 3.Об утверждении Положения о  порядке использования бюджетных ассигнований резервного фонда адм. МО Крымский район пост. № 717 от 22.05.17г.</t>
  </si>
  <si>
    <t>1.ст.15 п.36, 2.гл.5 ст.42.п.11</t>
  </si>
  <si>
    <t>1.01.01.09 г.- не ограничен, 2.24.05.2017-не ограничен, 3.срок не ограничен</t>
  </si>
  <si>
    <t>5130020590</t>
  </si>
  <si>
    <t>870</t>
  </si>
  <si>
    <t>Решение сессии № 541 от 25.12.24г.</t>
  </si>
  <si>
    <t>в течени финансового года</t>
  </si>
  <si>
    <t>Обслуживание муниципального долга</t>
  </si>
  <si>
    <t>1.131-ФЗ от 06.10.03г., 2.Устав МО Крымский район №175 от 26.04.2017г.,  3.МП"Управление муниципальными финансами МО Крымский район", утв.пост.№2096 от 15.10.19г., изм.№2984 от 05.10.21г., изм. №101 от 20.01.2022г., МП №3054 от 20.10.2022г.</t>
  </si>
  <si>
    <t xml:space="preserve">1.ст.64, 2.гл.8 ст.78 </t>
  </si>
  <si>
    <t>1. 01.01.09г. -не ограничен, 2.24.05.17г. -не ограничен, 3. 01.01.21г.-31.12.25г.</t>
  </si>
  <si>
    <t xml:space="preserve">1.МП"Управление муниципальными финансами МО Крымский район", утв.пост.№2096 от 15.10.19г., изм.№2984 от 05.10.21г. </t>
  </si>
  <si>
    <t>МК№0818600004018000123-0061101-03 от 27.08.18г., №5 от 27.07.21г., №6 от 27.07.21г., №110 от 25.09.19г., №66 от 28.08.19г., №47 от 21.08.19г., №1 от 20.02.19г., МК№0818600004021000159 от 26.07.21г.</t>
  </si>
  <si>
    <t>1. 01.01.21г.-31.12.25г., 2.С даты заключения по дату исполнения обязат-в</t>
  </si>
  <si>
    <t>2800127880</t>
  </si>
  <si>
    <t>730</t>
  </si>
  <si>
    <t>1,Постановление № 2096
от 15.10.2019г.                                   2. Решение сессии №393 от 20.12.2023г.</t>
  </si>
  <si>
    <t>9900027880</t>
  </si>
  <si>
    <t>Подпрограмма "Обеспечение жильем молодых семей"</t>
  </si>
  <si>
    <t>1.Устав МО Крымский район №175 от 26.04.17г., 2.МП "Комплексное и устойчивое развитие Крымского района в сфере строительства, архитектуры и дорожного хозяйства", утв. пост.№2276 от 15.11.19г.; 3. Пост. № 2158 от 29.07.2022</t>
  </si>
  <si>
    <t>1.гл.3, ст.11, п.8</t>
  </si>
  <si>
    <t>1.24.05.17 г.- не ограничен; 2. 01.01.17 г.-не ограничен, 3.01.01.20г. - 13.12.24г.</t>
  </si>
  <si>
    <t>0610104970</t>
  </si>
  <si>
    <t>322</t>
  </si>
  <si>
    <t>согл. 03625000-1-2023-002 от 20.01.23г.</t>
  </si>
  <si>
    <t>1.01.01.21г.-31.12.21г.,                             2.2025-2029гг.</t>
  </si>
  <si>
    <t>06101L4970</t>
  </si>
  <si>
    <t>Согл. 03625000-1-2024-003 от 24.01.2024</t>
  </si>
  <si>
    <t>1.01.01.21г.-31.12.21г., 2. 2025-2029гг.</t>
  </si>
  <si>
    <t>06101R4970</t>
  </si>
  <si>
    <t xml:space="preserve">Муниципальная программа муниципального образования Крымский район "Противодействие коррупции в муниципальном образовании Крымский район" </t>
  </si>
  <si>
    <t>1.№131-ФЗ от 06.10.03г., 2.Устав МО Крымский район №175 от 26.04.17г., 3.МП"Противодействие коррупции в МО Крымский район" пост."2274 от 24.12.18г., 4. Пост. №2074 от 27.07.2022</t>
  </si>
  <si>
    <t>1.ст.15 п.1 п/п 33, 2.гл.2 ст.8.п.1 п/п36</t>
  </si>
  <si>
    <t>1.01.01.09г.-не ограничен, 2.24.05.17г.-не ограничен, 3.01.01.20г.-31.12.24г. 4. с 01.01.2025-31.12.2029гг.</t>
  </si>
  <si>
    <t>14</t>
  </si>
  <si>
    <t>2610109160</t>
  </si>
  <si>
    <t>Организация и осуществление мероприятий по территориальной обороне и гражданской обороне, защите населения и территории поселения от чрезвычайных ситуаций природного и техногенного характера;</t>
  </si>
  <si>
    <t>1.№131-ФЗ от 06.10.03г. 2. Устав МО Крымский район №175 от 26.04.17г.; 3.Пост.адм.МО Крымский район от 15.11.19г. №2275 "Об утверждении МП Крымского района "Обеспечение безопасности населения", изм.№3085 от 31.12.20г., 4. Устав МКУ УЧСГЗ МО Крымский район, утв.пост.адм.№2333 от 16.08.11 г.</t>
  </si>
  <si>
    <t>1.ст.15 п.1 п/п 21, 2. ст.8 п.3 п/п5</t>
  </si>
  <si>
    <t>1.01.01.09г.- не ограничен, 2.24.05.17г.-не ограничен; 3. 01.01.20г.-31.12.24г.; 4.16.08.11г.-не ограничен</t>
  </si>
  <si>
    <t>1.Пост.адм.МО Крымский район от 15.11.19г. №2275 "Об утверждении МП Крымского района "Обеспечение безопасности населения" на 2020-2024 года, 02.08.19г.,МК0318300400519000030 от 23.09.19г.</t>
  </si>
  <si>
    <t>1.01.01.20-31.12.24г., 2.с даты заключения - 31.12.20г.</t>
  </si>
  <si>
    <t>0960110720</t>
  </si>
  <si>
    <t>1.Пост.адм.МО Крымский район от 15.11.19 г. №2275 "Об утверждении мун.пр.Крымского района "Обеспечение безопасности населения" на 2020-2024 года, изм. №3085 от 31.12.20г.,2. Пост.№ 2157 от
29.07.2022</t>
  </si>
  <si>
    <t>мк 0818600004024000139 от 28.10.24г., мк  0318300400524000017 от 16.09.24г., мк 0818600004024000014 от 11.06.24</t>
  </si>
  <si>
    <t>1.01.01.19-31.12.24 гг., 2. с даты заключения - 31.12.24г.</t>
  </si>
  <si>
    <t>1.Пост.адм.МО Крымский район от 15.11.19г. №2275 "Об утверждении МП Крымского района "Обеспечение безопасности населения" на 2020-2024 2. Пост.2157 от 29.07.2022г.</t>
  </si>
  <si>
    <t xml:space="preserve">мк. 24-01-00-0804-00036-ЭД-44-ФЗ от 29.05.24г., дог. 23-241-00131  от 18.01.24г, 
</t>
  </si>
  <si>
    <t>1.01.01.20 г.-31.12.24 г.;                    2. с даты заключения по 31.12.24г.</t>
  </si>
  <si>
    <t>0930010080</t>
  </si>
  <si>
    <t>1.Пост.адм.МО Крымский район от 15.11.19 г. №2275 "Об утверждении мун.пр.Крымского района "Обеспечение безопасности населения" на 2020-2024 года, 2. Пост.2157 от 29.07.2022г.</t>
  </si>
  <si>
    <t>дог.09-05-0800-027/23 от 07.11.23г.</t>
  </si>
  <si>
    <t>1.01.01.20г.-31.12.24г.; 2.с 2025 по 2029гг.                3.с даты заключения по 31.12.23г.</t>
  </si>
  <si>
    <t xml:space="preserve">Пост.адм.МО Крымский район от 15.11.19г. №2275 "Об утверждении МП Крымского района "Обеспечение безопасности населения" на 2020-2024 года; </t>
  </si>
  <si>
    <t>мк 0318300400524000035 от 13.11.24г, мк 0318300400524000039 от 15.11.24г., мк. 0318300400524000040 от 15.11.24г</t>
  </si>
  <si>
    <t>1.Пост.адм.МО Крымский район от 15.11.19г. №2275 "Об утверждении мун.пр.Крымского района "Обеспечение безопасности населения" на 2020-2024г., изм. №3085 от 31.12.20г.; 2.Устав МКУ УЧСГЗ МО Крымский район, у2. Пост.2157 от 29.07.2022г.</t>
  </si>
  <si>
    <t>1.01.01.20г.-31.12.24г.; 2.16.08.11г.-не ограничен</t>
  </si>
  <si>
    <t>0960100590</t>
  </si>
  <si>
    <t>1.Пост. главы МО Крымский район от 22.06.2018г.№946, 2.Приказ №40 -од от 02.07.18г.3.Приказ 44-од от 01.07.19г.</t>
  </si>
  <si>
    <t>1.01.06.18 г.- не ограничен; 2.02.07.18г.-не ограничен; 3.01.07.21г.- не ограничен</t>
  </si>
  <si>
    <t>1.НК РФ часть 1, 2.Федеральный закон № 167-ФЗ от 15.12.01г., 3.Федеральный закон № 27-ФЗ от 01.04.96г., 4.Федеральный закон № 165-ФЗ от 16.07.99г. 5."ЕНС". изменения внесены Федеральным законом от 14.07.2022 №263-ФЗ</t>
  </si>
  <si>
    <t>1.Приказы руководителя, 2.Указ  Президента РФ №1110 от 30.05.94г.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</si>
  <si>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закл.дог.согл. ст. 93 ч. 1 п. 1 №44-ФЗ от 05.04.2013г. (связь); ст. 93 ч. 1 п. 4 №44-ФЗ от 05.04.2013г. (дог.раз.характера)</t>
  </si>
  <si>
    <t>дог.согл. ст. 93 ч. 1 п. 1 №44-ФЗ от 05.04.2013г. (связь); ст. 93 ч. 1 п. 4 №44-ФЗ от 05.04.2013г. (дог.раз.характера); контракты (электронный аукцион)</t>
  </si>
  <si>
    <t xml:space="preserve">дог 48/07 от 12.01.22г, дог.48/07 от 08.02.23г, дог.57 от 15.12.22г, дог 57 от 30.01.23г, дог.23 от 30.01.23г, дог. 58 от 09.01.23г, дог.9-02 дог.09.02.23г,  дог. 15 от 15.02.23г, дог.16-08 дог.16.08.23г, дог.2308 от 30.08.23г, дог.23-08 от 31.01.23г дог.4 от 11.04.23г, </t>
  </si>
  <si>
    <t>дог.согл. ст. 93 ч. 1 п. 1 №44-ФЗ от 05.04.2013г.</t>
  </si>
  <si>
    <t>дог.1929 от 12.01.22г., дог.1929 от 30.01.23г.</t>
  </si>
  <si>
    <t>1.ФЗ -146 от 31.07.98г. (налоговый кодекс), 2.ФЗ -7 "Об охране окружающей среды" от 10.01.02г.,</t>
  </si>
  <si>
    <t>1.01.01.99г.- не ограничен, 2.с даты опубликования - не ограничен</t>
  </si>
  <si>
    <r>
      <t>1.</t>
    </r>
    <r>
      <rPr>
        <b/>
        <sz val="10"/>
        <rFont val="Times New Roman"/>
        <family val="1"/>
        <charset val="204"/>
      </rPr>
      <t>Пост.адм.МО Крымский район от 15.11.19г. №2275 "Об утверждении мун.пр.Крымского района "Обеспечение безопасности населения" на 2020-2024г., 2. Пост.2157 от 29.07.2022г.</t>
    </r>
  </si>
  <si>
    <t>дог. 2106 от 04.07.2024г, дог. 05-07 от 11.07.2024г.</t>
  </si>
  <si>
    <r>
      <rPr>
        <b/>
        <sz val="10"/>
        <rFont val="Times New Roman"/>
        <family val="1"/>
        <charset val="204"/>
      </rPr>
      <t>1.с 01.01.20г.-31.12.24г.</t>
    </r>
    <r>
      <rPr>
        <sz val="10"/>
        <rFont val="Times New Roman"/>
        <family val="1"/>
        <charset val="204"/>
      </rPr>
      <t xml:space="preserve">    2.с даты заключения по 31.12.24г.</t>
    </r>
  </si>
  <si>
    <t>0910310550</t>
  </si>
  <si>
    <t>мк 0818600004024000015 от 19.03.2024г.</t>
  </si>
  <si>
    <t>с даты заключения по 31.12.23г.</t>
  </si>
  <si>
    <t>0910310551</t>
  </si>
  <si>
    <t>1.№131-ФЗ от 06.10.06 г., 2.№3039-КЗ от 05.11.04 г., 3.Устав МО Крымский район №175 от 26.04.2017г., 4.Пост.адм.МО Крымский район от 15.11.19г. №2275 "Об утверждении мун.пр.Крымского района "Обеспечение безопасности населения" на 2020-2024г.,  2. Пост.2157 от 29.07.2022г.</t>
  </si>
  <si>
    <t>1.ст15, п.1п/п.21; 3. ст.8 п.3 п/п6</t>
  </si>
  <si>
    <t>1.01.01.09г.- не ограничен; 2.01.01.15г.- не ограничен; 3. 24.05.17г.- не ограничен, 4.с 01.01.20г.-31.12.24г.                  5.с 2025 по 2029гг.</t>
  </si>
  <si>
    <t>0910200590</t>
  </si>
  <si>
    <t>1.Пост. главы МО Крымский район от 22.06.2018г.№946,оплата труда, 2. Приказ №40-од от 02.07.18 г." Об утверждении положения об оплате труда", 3.Приказ 44-од от 01.07.19 г.</t>
  </si>
  <si>
    <t>1.01.06.18г.- не ограничен; 2.02.07.18г.-не ограничен; 3.01.07.19г.-не ограничена</t>
  </si>
  <si>
    <t>1.Постановление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2.Приказы руководителя</t>
  </si>
  <si>
    <t xml:space="preserve">1НК РФ часть 1, 2.Федеральный закон № 167-ФЗ от 15.12.2001г., 3.Федеральный закон № 27-ФЗ от 01.04.1996г., 4.Федеральный закон № 165-ФЗ от 16.07.1999г.  5. "ЕНС". изменения внесены Федеральным законом от 14.07.2022 №263-ФЗФедеральным </t>
  </si>
  <si>
    <t xml:space="preserve"> ст. 93 ч. 1 п. 1 №44-ФЗ от 05.04.2013г. (связь); ст. 93 ч. 1 п. 4 №44-ФЗ от 05.04.2013г. (дог.раз.характера); контракты (электронный аукцион)</t>
  </si>
  <si>
    <t xml:space="preserve"> ст. 93 ч. 1 п. 1 №44-ФЗ от 05.04.2013г.; ст. 93 ч. 1 п. 4 №44-ФЗ от 05.04.2013г. </t>
  </si>
  <si>
    <t xml:space="preserve"> ст. 93 ч. 1 п. 1 №44-ФЗ от 05.04.2013г.</t>
  </si>
  <si>
    <t>ст. 93 ч. 1 п. 8 №44-ФЗ от 05.04.13г., ст. 93 ч. 1 п. 29 №44-ФЗ от 05.04.13г.</t>
  </si>
  <si>
    <t xml:space="preserve">1.ФЗ -146 от 31.07.98г. (налоговый кодекс), 2.ФЗ -7 "Об охране окружающей среды" от 10.01.02г., </t>
  </si>
  <si>
    <t>1.01.01.99 г.- не ограничен, 2. с даты опубликования - не ограничен</t>
  </si>
  <si>
    <t>Реализация мероприятий в области АПК "Безопасный город"</t>
  </si>
  <si>
    <t>09601S0250</t>
  </si>
  <si>
    <t>1.№131-ФЗ от 06.10.06 г., 2.№3039-КЗ от 05.11.04 г., 3.Устав МО Крымский район №175 от 26.04.2017г.</t>
  </si>
  <si>
    <t>1.01.01.09 г.- не ограничен; 2.01.01.15 г.- не ограничен</t>
  </si>
  <si>
    <t>0910211440</t>
  </si>
  <si>
    <t>1.№131-ФЗ от 06.10.06 г., 2.№3039-КЗ от 05.11.04 г., 3.Устав МО Крымский район №175 от 26.04.2017г., 4.Пост.адм.МО Крымский район от 15.11.19г. №2275 "Об утверждении мун.пр.Крымского района "Обеспечение безопасности населения" на 2020-2024г., 2. Пост.2157 от 29.07.2022г.</t>
  </si>
  <si>
    <t>1.01.01.09г. - не ограничен; 2.01.01.15г. - не ограничен; 3.26.04.17г. - не ограничен, 4.01.01.20г. - 31.12.24г.,                   5. с 2025 по 2029гг.</t>
  </si>
  <si>
    <t>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  на решение вопросов, не отнесенных к вопросам местного значения муниципального района (3.03.00.0.000)</t>
  </si>
  <si>
    <t>по перечню, предусмотренному Федеральным законом от 06.10.2003 № 131-ФЗ "Об общих принципах организации местного самоуправления в Российской Федерации"</t>
  </si>
  <si>
    <t>Осуществление расходов на дополнительные меры социальной поддержки и социальной помощи для отдельных категорий граждан</t>
  </si>
  <si>
    <t>1.131-ФЗ от 06.10.03 г., 2.Устав муниципального образования Крымский район, утв.решением сессии №175 от 26.04.2017 г.</t>
  </si>
  <si>
    <t xml:space="preserve">1. Ст.20 п 5, 2.гл. 3 ст.11 п.8 </t>
  </si>
  <si>
    <t xml:space="preserve">1.01.01.09 г.-не ограничен, 2. 24.05.2017 г.-не ограничен </t>
  </si>
  <si>
    <t>МП МО Крымский район "Социальная поддержка граждан", утв. пост.№2062 от 06.12.18г., изм.№2556 от 02.09.21г.                                            2. Решение Совета МО № 393 от 20.12.23г,</t>
  </si>
  <si>
    <t>1.01.01.20г.-31.12.24 г.             2. с 2025 по 2029гг.</t>
  </si>
  <si>
    <t>00</t>
  </si>
  <si>
    <t xml:space="preserve">1. Решение Совета МО  Крымский район №186 от 31.05.17г., 2.Распоряжения администрации МО Крымский район </t>
  </si>
  <si>
    <t>0310040010</t>
  </si>
  <si>
    <t>313</t>
  </si>
  <si>
    <t>1. Решение Совета МО Крымский район № 541 от 25.12.24г.                                2.Пост. №22358 от 29.12.2018г.</t>
  </si>
  <si>
    <t>1.01.01.20г.-31.12.24 г.             2. в течении финансового года</t>
  </si>
  <si>
    <t>9900040010</t>
  </si>
  <si>
    <t>Пост. №4048 от 14.11.2023г.</t>
  </si>
  <si>
    <t>092111270</t>
  </si>
  <si>
    <t>323</t>
  </si>
  <si>
    <t xml:space="preserve">1. 131-ФЗ от 6.10.2003г.ФЗ 2. Пост.№ 1983 от 12.08.2024г. </t>
  </si>
  <si>
    <t>ч.5 ст.20</t>
  </si>
  <si>
    <t>0970010171</t>
  </si>
  <si>
    <t>Расходные обязательства, возникшие  в  результате делегированных полномочий за счет субвенций, переданных муниципальному районув рамках межбюджетных отношений на цели, утвержденные в краевом бюджете и межбюджетных трансферов, передаваемых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</si>
  <si>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за счет субвенций, предоставленных  из федерального бюджета </t>
  </si>
  <si>
    <t xml:space="preserve">Составление (изменение, дополнение) списков кандидатов в присяжные заседатели федеральных судов общей юрисдикции в Российской Федерации </t>
  </si>
  <si>
    <t>1. БК РФ, 2.№113-ФЗ от 20.08.04г. 2.Решение Совета МО №393 от 20.12.23г.</t>
  </si>
  <si>
    <t>1.01.01.2000г. - не ограничено, 2.в течении финансового года</t>
  </si>
  <si>
    <t>5140051200</t>
  </si>
  <si>
    <t>Обеспечение жилыми помешениями и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</si>
  <si>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1.№805-КЗ от 15.12.04г., 2.Устав МО Крымский район №175 от 26.04.17г., 3. МП МО Крымский район "Дети Крымского района" на 2020-2024 годы пост.№2206 от 19.12.18г., 4.Пост. № 2156 от 29.07.2022</t>
  </si>
  <si>
    <t>1.ст.1, 2.гл.3, ст.11, п.1,2</t>
  </si>
  <si>
    <t>1.с даты обнародования - не ограничен, 2.с 24.05.2017г. - не ограничен; 3.с 01.01.20г. по 31.12.24г.                4. с 01.01.2025 по 31.12.2029гг.</t>
  </si>
  <si>
    <t>Согл. 67 от 19.02.2024г.</t>
  </si>
  <si>
    <t>05101R0820</t>
  </si>
  <si>
    <t>Согл. 67 от 25.01.2023г., доп. согл. 1 от 29.03.23г, доп. согл. 2 от 27.07.23г.</t>
  </si>
  <si>
    <t xml:space="preserve"> ст. 93 ч. 1 п. 1 №44-ФЗ от 05.04.2013г. </t>
  </si>
  <si>
    <t>01.01.21г.- 31.12.23г.</t>
  </si>
  <si>
    <t>05101С0820</t>
  </si>
  <si>
    <t>п.1.1</t>
  </si>
  <si>
    <t>1. 01.01.21 г.-31.12.23г.;       2.с даты заключения по 31.12.23г.</t>
  </si>
  <si>
    <t>Переселение граждан из аварийного жилищного фонда в рамках федерального проекта "Обеспечение устойчивого сокращения непригодного для проживания жилищного фонда"</t>
  </si>
  <si>
    <r>
      <t xml:space="preserve">Адресная программа КК "Переселение граждан из аварийного жилищного фонда на 2019-2025 годы", утв.пост.главы адм. (губернатора) КК от 10.04.19г. №186, 2.Согл.№ПО-11 от 13.10.21г.,       </t>
    </r>
    <r>
      <rPr>
        <b/>
        <sz val="10"/>
        <rFont val="Times New Roman"/>
        <family val="1"/>
        <charset val="204"/>
      </rPr>
      <t>3. МП "Комплексн.и устойчивое развитие Крымского района в сфере строительства, иархитектуры и дорожного хозяйства", утв.пост.№2276 от 15.11.19г., изм.№3620 от 07.12.21г.</t>
    </r>
  </si>
  <si>
    <r>
      <t xml:space="preserve">1.2019-2025гг, 2.13.10.21г.- до исполн. обязательств, </t>
    </r>
    <r>
      <rPr>
        <b/>
        <sz val="10"/>
        <rFont val="Times New Roman"/>
        <family val="1"/>
        <charset val="204"/>
      </rPr>
      <t>3.01.01.20г.-31.12.24г.</t>
    </r>
  </si>
  <si>
    <t>061F367483</t>
  </si>
  <si>
    <t>061F367484</t>
  </si>
  <si>
    <t>Осуществление гос.полномочий по подготовке и проведению Всероссийской сельскохозяйственной переписи</t>
  </si>
  <si>
    <t>1.Пост.правительств от 07.12.19г. №1608; 2.Пост. Адм.МО крымский район №2565 от 02.09.21г.; 3.Письмо депорт. внутр.полит.№34-06-39/21 от 11.01.21г.</t>
  </si>
  <si>
    <t>договора с даты заключения-31.12.21г.</t>
  </si>
  <si>
    <t>9900054690</t>
  </si>
  <si>
    <t xml:space="preserve">за счет субвенций, предоставленных  из бюджета субъекта Росийской Федерации </t>
  </si>
  <si>
    <t>Поддержка сельскохозяйственного производства в Краснодарском крае</t>
  </si>
  <si>
    <t>1. 976- КЗ от 26.12.05г., 2.Устав МО Крымский район № 175 от 26.04.17г.;      3.Согл. о предоставл. субвенций (содерж. Ед. по с/хоз.) 127/24 от 25.01.2024г.</t>
  </si>
  <si>
    <t>2.гл.3, ст.11, п.1,2,8</t>
  </si>
  <si>
    <t>1.со дня офиц.опубликов. -не огранич, 2.с 24.05.17г.- не ограничен; 3.с 01.01.2023 по 31.12.2023гг.</t>
  </si>
  <si>
    <t>5120060910</t>
  </si>
  <si>
    <t>1.Постановление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2.Распоряжение руководителя</t>
  </si>
  <si>
    <t>1НК РФ часть 1, 2.Федеральный закон № 167-ФЗ от 15.12.01г., 3.Федеральный закон № 27-ФЗ от 01.04.96г., 4.Федеральный закон № 165-ФЗ от 16.07.99г.  5. "ЕНС". изменения внесены Федеральным законом от 14.07.2022 №263-ФЗ</t>
  </si>
  <si>
    <t>1. 01.01.99г. - не ограничен, 2.17.12.01г.- не ограничен, 3.01.01.97г.-не ограничен, 4.19.07.99г.-не ограгичен         5. с 1.01.23г. не ограничен</t>
  </si>
  <si>
    <t xml:space="preserve"> ст. 93 ч. 1 п. 4 №44-ФЗ от 05.04.2013г. </t>
  </si>
  <si>
    <t>С даты подписания- 31.12.24г.</t>
  </si>
  <si>
    <t>Осуществление выплат единовременного пособия детям-сиротам и детям, оставшимся без попечения родителей, и лицам из их числа на государственную регистрацию права собственности (права пожизненного наследуемого владения), в том числе на оплату услуг, необходимых для ее осуществления, за исключением жилых помещений, приобретенных за счет средств краевого бюджета</t>
  </si>
  <si>
    <t>1. Закон КК №805-КЗ от 15.12.04 г., 2.Согл.№474 от 17.08.21г., 3.Пост.2646 от 08.09.21г. Согл.. № 1 от 22.03.2022г.</t>
  </si>
  <si>
    <t>1. с 01.01.2023-31.12.2023гг.</t>
  </si>
  <si>
    <t>0510160580</t>
  </si>
  <si>
    <t>05101А0820</t>
  </si>
  <si>
    <t>Предупреждения и ликвидация болезней животных, их лечению, отлову и содержанию безнадзорных животных, защите населения от болезней, общих для человека и животных, в части регулирования численности безнадзорных животных на территории МО</t>
  </si>
  <si>
    <t xml:space="preserve">1.Закон КК от 8.11.2022г. № 4782-КЗ                                         2.Постановление Губернатора от 12.12.22г. №928 ;                                                                   2.МП Крымского района "Развитие сельского хозяйства и регулирование рынков сельскохозяйственной продукции" (2410161650)-мероприятия по отлову брод.животных, пост. №2245 от 28.07.21г.                       3. Пост. № 2072 от 27.07.2022 на 2025-2029гг.
</t>
  </si>
  <si>
    <t>1.С даты опубликования-не ограничен,       2. 01.01.22г. - 31.12.24г.</t>
  </si>
  <si>
    <r>
      <t>1.</t>
    </r>
    <r>
      <rPr>
        <b/>
        <sz val="10"/>
        <rFont val="Times New Roman"/>
        <family val="1"/>
        <charset val="204"/>
      </rPr>
      <t xml:space="preserve"> Согл.№23/22 от 27.01.2022г.                                           2. С 2023 без соглашения Закон КК № 4782 от 8.11.23г.</t>
    </r>
  </si>
  <si>
    <t>.в течении финансового года</t>
  </si>
  <si>
    <t>2410161650</t>
  </si>
  <si>
    <t>создание и организация деятельности комиссий по делам несовершеннолетних и защите их прав</t>
  </si>
  <si>
    <t>1.№1132-КЗ от 13.11.06 г., 2.Устав МО Крымский район №175 от 26.04.2017г.,  3.согл.на предоставл. Единой субвенции (комис. по дел. несов-летних) согл. № 23 от 12.01.2023г.</t>
  </si>
  <si>
    <t xml:space="preserve">2.гл.3 ст.11 п.1, 2, 8 </t>
  </si>
  <si>
    <t>1.с даты опубликования - не ограничен, 2.с 24.05.17г. -не огранич,                 3.с 01.01.23г. по 31.12.23г.</t>
  </si>
  <si>
    <t>5120060890</t>
  </si>
  <si>
    <t>1.Распоряжение руководителя (команд.расходы), 2. Указ  Президента РФ №1110 от 30.05.94г.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</si>
  <si>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 xml:space="preserve"> ст. 93 ч. 1 п. 4 №44-ФЗ от 05.04.2013г</t>
  </si>
  <si>
    <t>1. №4596-КЗ ЗКК от 09.12.24г.,                                     2.Устав МО Крымский район №175 от 26.04.2017г.,                              3.согл. о предоставл. единой субвенц. на содерж.(ед. по несовершен.) согл. № 23 от 17.01.2024г.</t>
  </si>
  <si>
    <t>1.с даты опубликования - не ограничен, 2.с 24.05.17г. -не огранич,                 3.с 01.01.24г. по 31.12.24г.</t>
  </si>
  <si>
    <t>5120069200</t>
  </si>
  <si>
    <t xml:space="preserve">организация и осуществлению деятельности по опеке и попечительству в отношении несовершеннолетних </t>
  </si>
  <si>
    <t>1. №4596-КЗ ЗКК от 09.12.24г.,                                     2.Устав МО Крымский район №175 от 26.04.2017г.,                              3.согл. о предоставл. единой субвенц. на содерж.(ед. поопеке.) согл. № 23 от 17.01.2024г.</t>
  </si>
  <si>
    <t>1.ст.1, 2.гл.3 ст.11 п.1,2, 8</t>
  </si>
  <si>
    <t>1.с даты опубликования -не ограничен, 2.с 24.05.17г.-не огранич; 3.с 01.01.24г. до 31.12.24г.</t>
  </si>
  <si>
    <t>5120060880</t>
  </si>
  <si>
    <t>1.Распоряжение руководителя (команд.расходы), 2.Указ  Президента РФ №1110 от 30.05.94 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</si>
  <si>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 xml:space="preserve">1. 01.01.99г. - не ограничен, 2.от 17.12.01г.- не ограничен, 3.01.01.97г.-не ограничен, 4.19.07.99г.-не ограгичен </t>
  </si>
  <si>
    <t>5120069190</t>
  </si>
  <si>
    <t>Единая субвенция по предоставлению лицам, которые относились к категории детей-сирот и детей, оставшихся без попечения родителей, лиц из числа детей-сирот и детей, оставшихся без попечения родителей, и достигли возраста 23 лет, выплаты на приобретение благоустроенного жилого помещения в собственность или для полного погашения предоставленного на приобретение жилого помещения кредита (займа) по договору, обязательства заемщика по которому обеспечены ипотекой</t>
  </si>
  <si>
    <t>1. №4596-КЗ ЗКК от 09.12.24г.,                                     2.Устав МО Крымский район №175 от 26.04.2017г.,                              3.согл. о предоставл. единой субвенц. на содерж.(ед. по сертиф..) согл. № 23 от 17.01.2024г.</t>
  </si>
  <si>
    <t>5120069210</t>
  </si>
  <si>
    <t>в течении финансового года.</t>
  </si>
  <si>
    <t xml:space="preserve">выявление обстоятельств, свидетельствующих о необходимости оказания детям-сиротам и детям, оставшимся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 </t>
  </si>
  <si>
    <t>1. №805-КЗ от 15.12.04 г., 2.Устав МО Крымский район №175 от 26.04.2017г.,  3.согл. о предоставл. единой субвенц. на содерж.(ед. по ТЖС) согл. № 23 от 12.01.2023г.</t>
  </si>
  <si>
    <t>1.ст.1, 2.гл.3 ст.11, п.1,2</t>
  </si>
  <si>
    <t>1.с даты опубликования - не ограничен, 2.с 24.05.17г.-не огранич; 3.с 01.01.23г. по 31.12.23г.</t>
  </si>
  <si>
    <t>5120062340</t>
  </si>
  <si>
    <t>1.Распоряжение руководителя (команд.расходы), 2. Указ  Президента РФ №1110 от 30.05.94 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</si>
  <si>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01.01.23г.-31.12.23г.</t>
  </si>
  <si>
    <t>1.с даты опубликования - не ограничен, 2.с 24.05.17г.-не огранич;                         3.с 01.01.24г. по 31.12.24г.</t>
  </si>
  <si>
    <t>5120069170</t>
  </si>
  <si>
    <t>01.01.24г.-31.12.24г.</t>
  </si>
  <si>
    <t>Формирование и утверждение списков граждан, пострадавших в  результате ЧС</t>
  </si>
  <si>
    <t>Устав МО Крымский район №175 от 26.04.17г.</t>
  </si>
  <si>
    <t>2.гл.3 ст.11 п.1,2</t>
  </si>
  <si>
    <t>1.с даты обнародования - не огранич.,      2.с 24.05.2017г.-не огранич</t>
  </si>
  <si>
    <t>5120060070</t>
  </si>
  <si>
    <t>с даты заключения</t>
  </si>
  <si>
    <t>Осуществление регионального государственного строительного надзора</t>
  </si>
  <si>
    <t>1. №5053-КЗ от 20.12.2023г.   2.Устав МО Крымский район №175 от 26.04.17г. 3. Согл. 6 от 16.01.2024г.</t>
  </si>
  <si>
    <t>5120063640</t>
  </si>
  <si>
    <t>1. с 1.01.23г. не ограничен</t>
  </si>
  <si>
    <t>с даты заключения по 31.12.2024г.</t>
  </si>
  <si>
    <t>Формирование и утверждение списков граждан Российской Федерации, пострадавших в результате чрезвычайных ситуаций регионального и межмуниципального характера</t>
  </si>
  <si>
    <t>1.№2541 -КЗ от 12.07.12г.,  2.Устав МО Крымский район №175 от 26.04.17г.</t>
  </si>
  <si>
    <t>1.с даты обнародования - не огран.,        2.с 24.05.17г.-не огранич</t>
  </si>
  <si>
    <t>5120062600</t>
  </si>
  <si>
    <t>1. 01.01.99 г. - не ограничен, 2.от 17.12.01 г.- не ограничен, 3.01.01.97 г.-не ограничен, 4.19.07.99 г.-не ограгичен  5. с 1.01.23г. не ограничен</t>
  </si>
  <si>
    <t>Осуществление отдельных гос. полн. по осущ. регионального гос. жилищного  надзора и лицензион. контроля</t>
  </si>
  <si>
    <t>1.№5053-КЗ от 20.12.2023г.                    2.Устав МО Крымский район №175 от 26.04.17г., 3.Согл. о предост. субвенций на содерд. (ед. по ГЖИ) № 5 от 9.01.2024г.</t>
  </si>
  <si>
    <t>1.01.01.18г.-не ограничен; 2. 24.05.17г.-не огранич;                       3. 01.01.24г.-31.12.24г.</t>
  </si>
  <si>
    <t>5120060220</t>
  </si>
  <si>
    <t>1. 01.01.99г. - не ограничен, 2.от 17.12.01г. - не ограничен, 3.01.01.97г.-не ограничен, 4.19.07.99г.-не ограгичен 5. с 1.01.23г. не ограничен</t>
  </si>
  <si>
    <t>1.№805-КЗ от 15.12.04г., 2.Устав МО Крымский район №175 от 26.04.17г.</t>
  </si>
  <si>
    <t>1.с даты обнародования - не ограничен, 2.с 24.05.17г.- не огранич</t>
  </si>
  <si>
    <t>согл. 140 от 01.12.14г, согл. бн от 05.11.14г.</t>
  </si>
  <si>
    <t>с даты заключения -не ограничен</t>
  </si>
  <si>
    <t>0610010350</t>
  </si>
  <si>
    <t>Организация газоснабжения населения (поселений) (строительство подводящих газопроводов, распределительных газопроводов)</t>
  </si>
  <si>
    <t>1. Устав МО Крымский район №175 от 26.04.2017г.;                                             2.МП "Развитие топливно-энергетич.комплекса", утв. пост.адм.№2274 от 15.11.19г.</t>
  </si>
  <si>
    <t xml:space="preserve">1.Гл.5 ст.39 п.1 </t>
  </si>
  <si>
    <t>1.24.05.17г.-не ограниче; 2.01.01.20г.-31.12.24г.</t>
  </si>
  <si>
    <t>25301100310</t>
  </si>
  <si>
    <t xml:space="preserve">Ведение учета граждан отдельных категорий в качестве нуждающихся в жилых помещениях </t>
  </si>
  <si>
    <t>1.№5053-КЗ от 20.12.2023г.., 2.Устав МО Крымский район № 175 от 26.04.2017г.; 3.согл. о предост. субвенц. на содерж. (ед.ЖКХ) № УГ-39 от 10.01.224г..</t>
  </si>
  <si>
    <t>1.ст.1, 2.гл.3 ст.11 п.1; п.2</t>
  </si>
  <si>
    <t>1.с даты опубликования - не ограничен, 2.с 24.05.17г.- не огранич; 3.01.01.24г. -31.12.24г.</t>
  </si>
  <si>
    <t>5120060870</t>
  </si>
  <si>
    <t>1.Указ  Президента РФ №1110 от 30.05.94 г. (с учетом изменений)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3.Распоряжение руководителя (команд. расходы)</t>
  </si>
  <si>
    <t xml:space="preserve"> ст. 93 ч. 1 п. 4 №44-ФЗ от 05.04.2013г.</t>
  </si>
  <si>
    <t>01.01.24г. - 31.12.24г.</t>
  </si>
  <si>
    <t xml:space="preserve">Поддержка сельскохозяйственного производства в Краснодарском крае в виде предоставления финансовой государственной поддержки развития </t>
  </si>
  <si>
    <t xml:space="preserve">1.Закон КК от 5053-КЗ от 20.12.2023г,  2.МП Крымского района "Развитие сельского хозяйства и регулирование рынков сельскохозяйственной продукции" (2410160910)-мероприятия по ЛПХ пост. 3.Согл. 127/24 от 25.01.2024г.
</t>
  </si>
  <si>
    <t>2410160910</t>
  </si>
  <si>
    <t>811</t>
  </si>
  <si>
    <r>
      <t xml:space="preserve">1.Устав МО Крымский район № 175 от 26.04.17г.; </t>
    </r>
    <r>
      <rPr>
        <b/>
        <sz val="10"/>
        <rFont val="Times New Roman"/>
        <family val="1"/>
        <charset val="204"/>
      </rPr>
      <t>2.согл.о предостав. субвенций на осуществление госуд. полномочий по поддержке сельскохоз. производства в агропром. комплексе КК № 63/23 от 3.01.2023г, доп. Согл.№1 от 16.11.23г.</t>
    </r>
  </si>
  <si>
    <t>1.гл.2, ст.8, п.23</t>
  </si>
  <si>
    <r>
      <t xml:space="preserve">1. с 24.05.17 г.-не ограничен,  </t>
    </r>
    <r>
      <rPr>
        <b/>
        <sz val="10"/>
        <rFont val="Times New Roman"/>
        <family val="1"/>
        <charset val="204"/>
      </rPr>
      <t xml:space="preserve"> 2. с 01.01.21г. -31.12.21г.,    </t>
    </r>
    <r>
      <rPr>
        <sz val="10"/>
        <rFont val="Times New Roman"/>
        <family val="1"/>
        <charset val="204"/>
      </rPr>
      <t xml:space="preserve">3.01.01.23г. - 31.12.23г. </t>
    </r>
  </si>
  <si>
    <t>Подготовка документации по планировке территории (проекта планировки территории и проекта межевания территории) муниципальных образований Краснодарского края</t>
  </si>
  <si>
    <t>06400S0170</t>
  </si>
  <si>
    <t>Решение Совета МО Крымский район от 25.12.2024г. №541</t>
  </si>
  <si>
    <t xml:space="preserve">организация оздоровления и отдыха детей </t>
  </si>
  <si>
    <t>1. №4596-КЗ ЗКК от 09.12.24г.,                                     2.Устав МО Крымский район №175 от 26.04.2017г.,                              3.согл. о предоставл. единой субвенц. на содерж.(ед. по оздоровл.) согл. № 23 от 17.01.2023г.</t>
  </si>
  <si>
    <t>1.гл.3 ст.11 п.1,2,8</t>
  </si>
  <si>
    <t>1.с 24.05.17г.-не ограничен; 2. с 01.01.23г.по 31.12.23г.</t>
  </si>
  <si>
    <t>5120060900</t>
  </si>
  <si>
    <t>1. 01.01.99г. - не ограничен, 2.от 17.12.0 г.- не огранич, 3.01.01.97г.-не ограничен, 4.19.07.99г.-не ограгичен 5. с 1.01.23г. не ограничен</t>
  </si>
  <si>
    <t>1. №4596-КЗ ЗКК от 09.12.24г.,                                     2.Устав МО Крымский район №175 от 26.04.2017г.,                              3.согл. о предоставл. единой субвенц. на содерж.(ед. по оздоровл.) согл. № 23 от 17.01.2024г.</t>
  </si>
  <si>
    <t>1.с 24.05.17г.-не ограничен; 2. с 01.01.24г.по 31.12.24г.</t>
  </si>
  <si>
    <t>5120069180</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</si>
  <si>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финансового обеспечения образовательной деятельности (нормативами подушевого финансирования расходов)</t>
  </si>
  <si>
    <r>
      <t xml:space="preserve">1.Мун.прогр. "Управление муниципальными финансами МО Крымский район", утв.пост.№2155 от 12.12.17г., 2.Устав МКУ ЦБ, утв.пост. администрации МО Крымский район №2125 от 07.12.17г., </t>
    </r>
    <r>
      <rPr>
        <b/>
        <sz val="10"/>
        <color rgb="FFFF0000"/>
        <rFont val="Times New Roman"/>
        <family val="1"/>
        <charset val="204"/>
      </rPr>
      <t>3.Закон "5053-КЗ от 20.12.23г. (О краевом бюджете на 2024 и плановые периобы 2025-2026гг.)</t>
    </r>
  </si>
  <si>
    <t>(администрирование по расходам на выполнение гос.полн. (компенсации части род.платы за присмотр и уход)</t>
  </si>
  <si>
    <t>5140360710</t>
  </si>
  <si>
    <t>1.НК РФ часть 1,2.Федеральный закон № 167-ФЗ от 15.12.01г., 3.Федеральный закон № 27-ФЗ от 01.04.1996г., 4.Федеральный закон № 165-ФЗ от 16.07.1999г. 5. "ЕНС". изменения внесены Федеральным законом от 14.07.2022 №263-ФЗ</t>
  </si>
  <si>
    <t>администрирование по расходам на выполнение гос.полн. (оплата жил. помещений, отопления и освещения пед.раб. а сельских нас.пунктах)</t>
  </si>
  <si>
    <t>5140360820</t>
  </si>
  <si>
    <t>администрирование по расходам на выполнение гос.полн. (обеспечение льготным питанием учащихся из многодетных семей)</t>
  </si>
  <si>
    <t>5140362370</t>
  </si>
  <si>
    <t>1.Положение об оплате труда работников муниципальных учреждений МО Крымский район, утв.постановлением адм. МО Крымский район от 21.12.17г.№2249, 2.Устав МКУ ЦБ</t>
  </si>
  <si>
    <t>5140363110</t>
  </si>
  <si>
    <t>1.Мун.прогр. "Управление муниципальными финансами МО Крымский район", утв.пост.№2155 от 12.12.17г.,                 2.Устав МКУ ЦБ, утв.пост. администрации МО Крымский район №2125 от 07.12.17г.</t>
  </si>
  <si>
    <t>1.01.01.18г.-31.12.21г., 2.13.12.17г.- не ограничен</t>
  </si>
  <si>
    <t>5140360860</t>
  </si>
  <si>
    <t>1.Положение об оплате труда работников муниципальных учреждений МО Крымский район, утв.постановлением адм. МО Крымский район от 21.12.17г.№2249, 2.Устав МКУ ЦБ ,    3.Пост.администрации МО Крымский район от 22.06.18г.№946 "Положение об оплате труда работников мун.учреждений МО Крымский район",    4.Положение об оплате труда - приложение к коллект.договору №28-18 от 28.03.18г.,      5.Приказ №74-од от 01.07.19г. "Об утверждении штатного расписания"</t>
  </si>
  <si>
    <t>1.01.01.18г.- не ограничен, 2. 07.12.17г.-не ограничен; 3. 01.06.18г.-не ограничен</t>
  </si>
  <si>
    <t>1. Указ  Президента РФ №1110 от 30.05.94г. (с учетом изменений)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3.Распоряжение руководителя (команд.расходы)</t>
  </si>
  <si>
    <t>Пособия, компенсации и иные социальные выплаты гражданам, кроме публичных нормативных обязательств</t>
  </si>
  <si>
    <t xml:space="preserve">           межбюджетные трансферты МО</t>
  </si>
  <si>
    <t>1. Постановление Губернатора КК № 770 от 28.10.22г.                                                  2. Приказ министерство обороны и ЧС КК № 219 от 15.12.22г. (без соглашения)</t>
  </si>
  <si>
    <t>п.5</t>
  </si>
  <si>
    <t>9900062590</t>
  </si>
  <si>
    <t>9900063690</t>
  </si>
  <si>
    <t xml:space="preserve"> по итогам краевого конкурса 1.Пост. Губернатора КК от 30.03.2023г. № 154, 2.Решение Совета МО от 7.04.23г, № 314</t>
  </si>
  <si>
    <t>со дня родписания до 31.12.23г.</t>
  </si>
  <si>
    <t>1650162950</t>
  </si>
  <si>
    <t>540</t>
  </si>
  <si>
    <t>Решение Совета МО № 591 от 25.12.24г.</t>
  </si>
  <si>
    <t>со дня родписания до 31.12.24г.</t>
  </si>
  <si>
    <t>0630220700</t>
  </si>
  <si>
    <t>Расходные обязательства, возникшие в результате принятия нормативных правовых актов муниципального района,в случаях заключения соглашения с органами местного самоуправления отдельных  поселений о передаче муниципальному району части полномочий по решению вопросов местного значения поселения</t>
  </si>
  <si>
    <t>Итого р.6</t>
  </si>
  <si>
    <t>Направление расходов на софинансирование расходных обязательств связанных с организацией водоснабжения населения бюджетами муниципальных образований Краснодарского края за счет средств резервного фонда администрации Краснодарского края</t>
  </si>
  <si>
    <t>1.Пост. 2611 от 17.08.23г., Согл бн от 17.08.23г,                      2. пост3686 от 27.10.23г, согл бн от 27.10.23г,                                      3.Пост. 4696 от 20.12.23г. Согл бн от 20.12.23г,</t>
  </si>
  <si>
    <t>9900010770</t>
  </si>
  <si>
    <t>812</t>
  </si>
  <si>
    <t>Пост. От 14.07.2022г. № 1845 "Об Об утверждении порядка предоставления субсидии на софинансирование расходных обязательств по вопросам местного значения связанным с организацией теплоснабжения населения, путем финансового обеспечения в установленном законодательством порядке затрат теплосноюжающей организации по погашению кредиторской задолженности"</t>
  </si>
  <si>
    <t>30100S3150</t>
  </si>
  <si>
    <t>Пост. От 7.12.2022г. № 3685 "Об утверждении порядка предоставления субсидии на софинансирование расходных обязательств в рамках организации водоснабжения населения, путем финансового обеспечения в установленном законодательством порядке затрат водоснабжающей организации по погашению кредиторской задолженности в целях водоснабжения населения</t>
  </si>
  <si>
    <t>99000S2590</t>
  </si>
  <si>
    <t>Согл бн от 25.04.2024г.</t>
  </si>
  <si>
    <t>99001S2590</t>
  </si>
  <si>
    <t>Уставной фонд</t>
  </si>
  <si>
    <t>Пост. РФ №492 от 18.09.20г. "Об общих треб.к НПА", Приказ МФ №1994 от 31.10.16г., Пост.№2893 от 29.09.21г., Пост.№2894 от 29.09.21г.</t>
  </si>
  <si>
    <t>п.1, ст.78.2 БК</t>
  </si>
  <si>
    <t>5200011480</t>
  </si>
  <si>
    <t>813</t>
  </si>
  <si>
    <t xml:space="preserve">Об утверждении муниципальной программы муниципального образования Крымский район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t>
  </si>
  <si>
    <t>1. Постановление № 3053 от 20.09.23г.                                                   2. Решение Совета МО №541 от 25.12.2024г.</t>
  </si>
  <si>
    <t>п.5 ЗК</t>
  </si>
  <si>
    <t>06</t>
  </si>
  <si>
    <t>3010009310</t>
  </si>
  <si>
    <t>Всего по Совету муниципального образования Крымский район</t>
  </si>
  <si>
    <t>Всего по администрации муниципального образования  Крымский район</t>
  </si>
  <si>
    <t>1.01.01.18г. -31.12.21г., 2.13.12.17г.- не ограничен; 3. 01.01.23г. - не ограничен</t>
  </si>
  <si>
    <t>1.Реш.сес.№393 от 20.12.2023г.(софинансирование из КБ),                                     2.пост.адм. №251 от 05.02.21г.</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</si>
  <si>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</si>
  <si>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Устав МО Крымский район, принятый решением Совета МО №396 от 09.04.2014</t>
  </si>
  <si>
    <t>1.Решение Совета МО Крымский район от 23.05.2018г. №304"Об утверждении Положения об оплате труда муниципальных служащих органов местного самоуправления муниципального образования Крымский район"(с учетом изменений).</t>
  </si>
  <si>
    <t>п.1,2</t>
  </si>
  <si>
    <t>с21.03.2016г.</t>
  </si>
  <si>
    <t>6710000190</t>
  </si>
  <si>
    <t>100</t>
  </si>
  <si>
    <t>Пост. главы МО Крымский район от 12.12.2016г.№1192,прочие выплаты</t>
  </si>
  <si>
    <t>Услуги связи, транспортные услуги, услуги по содержанию имущества, прочие услуги, увеличение стоимости материальных запасов, увеличение стоимости ОС</t>
  </si>
  <si>
    <t>240</t>
  </si>
  <si>
    <t>Прочие расходы.Налоговый кодекс РФ, учетная политика от 28.12.18г. №82-од</t>
  </si>
  <si>
    <t>р.3</t>
  </si>
  <si>
    <t>с 01.01.2014г.</t>
  </si>
  <si>
    <t>850</t>
  </si>
  <si>
    <t>67100000190</t>
  </si>
  <si>
    <t>Выравнивание уровня бюджетной обеспеченности поселений, входящих в состав муниципального района, за счет средств бюджета муниципального района</t>
  </si>
  <si>
    <t xml:space="preserve">Устав МО Крымский район, принятый решением Совета </t>
  </si>
  <si>
    <t>№396</t>
  </si>
  <si>
    <t>09.04.2014г</t>
  </si>
  <si>
    <t>2800209300</t>
  </si>
  <si>
    <t>511</t>
  </si>
  <si>
    <t>2800209400</t>
  </si>
  <si>
    <t>Всего по Финансовому управлению администрации МО Крымский район</t>
  </si>
  <si>
    <t>ст.15 п.1</t>
  </si>
  <si>
    <t>1.Устав МО Крымский район, принятый решением Совета МО №175 от 26.04.2017г.,               2.Реш.Совета МО Кр.р-н " О конт.-счет.палате МО Крымс.р-н" № 169 от 26.10.11 г.</t>
  </si>
  <si>
    <t>гл.5 ст.44,45,46,47</t>
  </si>
  <si>
    <t>1.24.05.2017 г. -бессрочно; 2.01.01.12 г.- не ограничен</t>
  </si>
  <si>
    <t>1.Решение Совета МО Крымский район от 21.12.2022г. № 279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                                      2. Распоряжение о штатном расписании контрольно-счетной палаты мун.обр.Крымский район №30-к от 30.09.2024г.</t>
  </si>
  <si>
    <t>1. 21.12.22г.-не ограничен, 2. 01.10.24 г.-не ограничен</t>
  </si>
  <si>
    <t>6810000190</t>
  </si>
  <si>
    <t>1.НК РФ часть 1, 2.Федеральный закон № 167-ФЗ от 15.12.2001 г., 3.Федеральный закон № 27-ФЗ от 01.04.1996 г., 4.Федеральный закон № 165-ФЗ от 16.07.1999 г.             5.Федеральный закон от 29.11.2021 № 379-ФЗ</t>
  </si>
  <si>
    <t>1. 01.01.99 г. - не ограничен, 2.от 17.12.01 г.- не ограничен, 3.01.01.97 г.-не ограничен, 4.19.07.99 г.-не ограгичен, 5. 29.11.21- не ограничен</t>
  </si>
  <si>
    <t>6820000190</t>
  </si>
  <si>
    <t>1.НК РФ часть 1, 2.Федеральный закон № 167-ФЗ от 15.12.2001 г., 3.Федеральный закон № 27-ФЗ от 01.04.1996 г., 4.Федеральный закон № 165-ФЗ от 16.07.1999 г. 5.5.Федеральный закон от 29.11.2021 № 379-ФЗ</t>
  </si>
  <si>
    <t>Распоряжения руководителя, решения о командировании</t>
  </si>
  <si>
    <t>1)Дог. ТУС-03/2023 от 09.01.23г.; дог. 781 от 09.01.23г.; дог.781-Б2 от 20.02.23г.; дог.1 от 02.06.23г.; дог.К11978/23 от 07.06.23г.; дог.3871 от 12.01.23г; дог.177/5655 от 09.01.23г.; дог. б/н от 11.07.23г.,                                        2)Дог. ТУС-03/2024 от 25.01.24г.,  дог. 781 от 15.01.24г, дог. 781 от 15.02.2024г, дог. 781-Б2 от 15.02.2024г, дог.К159247/24 от 03.06.2024г., дог.4844 от 26.04.2024г, дог.177/5655 от 09.01.2024г., дог.177/5655 12.01.2024г., дог.IT000611248 от 05.04.2024г., дог.24-63 от 22.04.2024г., дог.К159247/24 от 03.06.2024г., дог.20240617001 от 08.07.2024г., дог.6 от 31.05.2024г.</t>
  </si>
  <si>
    <t xml:space="preserve">1.с даты заключения по 31.12.2023 г.                           2.с даты заключения по 31.12.2024 г.           </t>
  </si>
  <si>
    <t>ФЗ -146 от 31.07.98 г. (налоговый кодекс); Федеральный закон от 29.11.2021 № 379-ФЗ</t>
  </si>
  <si>
    <t>1.ФЗ -146 от 31.07.98 г. (налоговый кодекс)</t>
  </si>
  <si>
    <t>Всего по Контрольно-счетной палате муниципального образования Крымский район</t>
  </si>
  <si>
    <t>Другие общегосударственные вопросы</t>
  </si>
  <si>
    <t>1. 39.9ЗК РФ          2. 131-ФЗ от 06.10.2003г.,                      3. Положение об отделе капитального строительства администрации МО Крымский район, принятое решение Совета МО Крымский район №536 от 19.02.2020г.</t>
  </si>
  <si>
    <t>ст. 14 ФЗ                ст. 15 п.1 пп.11</t>
  </si>
  <si>
    <t>1 06.10.2003-не ограничен</t>
  </si>
  <si>
    <t>0620211580</t>
  </si>
  <si>
    <t>414</t>
  </si>
  <si>
    <t>1.01.01.1999г.-не ограничен,     2. 01.01.21г.-31.12.21г.                 3.с 01.01.25г. по 31.12.29г.</t>
  </si>
  <si>
    <t xml:space="preserve">1. 131-ФЗ от                          2. Муниципальная программа муниципального образования Крымский район № 2028 от 27.07.2022 "Развитие топливно-энергетического комплекса"   Реализация мероприятий по газификации поселений </t>
  </si>
  <si>
    <t>ст. 11 ЗК РФ                       ст.32 -Устав Крымского г/п Крымского района</t>
  </si>
  <si>
    <t>06.10.2003г.-не ограничен</t>
  </si>
  <si>
    <t>06202S0330</t>
  </si>
  <si>
    <t>25201S0620</t>
  </si>
  <si>
    <t>2530111580</t>
  </si>
  <si>
    <t xml:space="preserve">1.РешениеСовета от 20.12.2023г. № 393.                                    2.Муниципальная программа муниципального образования Крымский район "Развитие топливно-энергетического комплекса"     </t>
  </si>
  <si>
    <t>1.с 2020 по 2024 гг                                      2.с 2025 по 2029гг.</t>
  </si>
  <si>
    <t>253И351540</t>
  </si>
  <si>
    <t>253019Т000</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</si>
  <si>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общеобразовательными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финансового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t>
  </si>
  <si>
    <t xml:space="preserve">1. НК РФ, 2.Решение совета №30 от 23.12.2020г., 3.МП "Развитие образования", уст. пост.администрации № 1902 от 01.11.2018г, 3. </t>
  </si>
  <si>
    <t>1.Часть 2, гл.31</t>
  </si>
  <si>
    <t>0210211580</t>
  </si>
  <si>
    <t xml:space="preserve">Штрафные санкции </t>
  </si>
  <si>
    <t>1.01.01.99г.- не ограничен,               2.с даты опубликования</t>
  </si>
  <si>
    <t>1.Решение Совета №30 от 23.12.2020г.,2.МП "Развитие образования" уст.пост.администрации №1902 от 01.11.2018г.</t>
  </si>
  <si>
    <t>1. 01.01.21г.-31.12.21г.,      2. 01.01.20г.-31.12.24г.            3.с 01.01.25г. по 31.12.29г.</t>
  </si>
  <si>
    <t>0220211580</t>
  </si>
  <si>
    <t>1.01.01.1999г.-не ограничен</t>
  </si>
  <si>
    <t xml:space="preserve">1. НК РФ, 2.Решение совета №30 от 23.12.2020г., 3.МП "Развитие образования", уст. пост.администрации № 1902 от 01.11.2018г, </t>
  </si>
  <si>
    <t>02202S0470</t>
  </si>
  <si>
    <t>МП "Развитие образования" уст.пост.администрации №1902 от 01.11.2018г.</t>
  </si>
  <si>
    <t>01.11.2018г.</t>
  </si>
  <si>
    <t>022Е1S0150</t>
  </si>
  <si>
    <t>1. НК РФ, 2.Решение совета №30 от 23.12.2020г., 3.МП "Развитие топливно-энергетического комплекс"</t>
  </si>
  <si>
    <t>Часть 2, гл.31</t>
  </si>
  <si>
    <t>2510109910</t>
  </si>
  <si>
    <t>Дополнительное образование детей</t>
  </si>
  <si>
    <t>1.Решение Совета №30 от 23.12.2020г.,   2.МП "Развитие культуры"  № 2045 от 11.10.19г.              3. МП "Развитие культуры"  № 2028 от 27.07.2022г.</t>
  </si>
  <si>
    <t>1020111580</t>
  </si>
  <si>
    <t>10201S1250</t>
  </si>
  <si>
    <t>Амбулаторная помощь</t>
  </si>
  <si>
    <t>Cтроительство и реконструкция объектов здравоохранения,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</si>
  <si>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1. НК РФ, 2.Решение совета №271 от 21.12.21г. 2.Решение сессии 393 от 20.12.2023г.</t>
  </si>
  <si>
    <t>0620260960</t>
  </si>
  <si>
    <t>Решение сессии 393 от 20.12.2023г.</t>
  </si>
  <si>
    <t>062N953651</t>
  </si>
  <si>
    <t>062N9C3651</t>
  </si>
  <si>
    <t>Физическая культура</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</si>
  <si>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</si>
  <si>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1220211580</t>
  </si>
  <si>
    <t>Пеня по Единому налоговому платежу, согл.акта сверки</t>
  </si>
  <si>
    <t>Отдел капитального строительства администрации муниципального образования Крымский район</t>
  </si>
  <si>
    <t>ВСЕГО</t>
  </si>
  <si>
    <t>ИТОГО</t>
  </si>
  <si>
    <t>0 7</t>
  </si>
  <si>
    <t>Постановление администрации муниципального образования Крымский район №666 от 18.05.2018 "Об утверждении Положения об оплате труда работников муниципальных учреждений культуры и образовательных учреждений, подведомственных управлению культуры администрации муниципального образования", Решение сессии №541 от 25.12.2024г.</t>
  </si>
  <si>
    <t>1020100590</t>
  </si>
  <si>
    <t>611</t>
  </si>
  <si>
    <t>Соглашение о предоставлении субсидии из краевого бюджета муниципального образования Краснодарского края № 03625000-1-2023-004 от 16.01.2023г ./Соглашение о предоставлении субсидии из краевого бюджета муниципального образования Краснодарского края № 03625000-1-2023-009 от 17.02.2023г ./ Соглашение о предоставлении субсидии из бюджета Российской Федерации местному бюджету № 03625000-1-2024-002 от 22.01.2024г</t>
  </si>
  <si>
    <t>102А155190</t>
  </si>
  <si>
    <t>612</t>
  </si>
  <si>
    <t>Соглашение о предоставлении субсидии из бюджета Краснодарского края бюджету муниципального образования Крымский район № 201-826-2024-03625000-041 от 24.04.2024г.</t>
  </si>
  <si>
    <t>10201S0640</t>
  </si>
  <si>
    <t>Соглашение о предоставлениисубвенции из бюджета Краснодарского края бюджету муниципального образования Краснодарского края Крымский район на реализацию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организаций, проживающих и работающих в сельских населенных пунктах, рабочих поселках на территории Краснодарского края №9 от 05.02.2024г.</t>
  </si>
  <si>
    <t>1020260820</t>
  </si>
  <si>
    <t xml:space="preserve">Постановление администрации муниципального образования Крымский район  № 2206 от 19.12.2018 г. "Об утверждении муниципальной программы муниципального 
образования Крымский район «Дети Крымского района»
</t>
  </si>
  <si>
    <t>0510210400</t>
  </si>
  <si>
    <t>Постановление администрации муниципального образования Крымский район № 3777 от 16.12.2022 г. "О выплате стипендий администрации муниципального образования Крымский район одаренным детям и подросткам отрасли "Культура" в 2023 году"</t>
  </si>
  <si>
    <t>1010143270</t>
  </si>
  <si>
    <t>1.Расходные обязательства муниципального района, вводимые федеральными Законами, финансовое обеспечение и исполнение которых осуществляется на уровне муниципального района</t>
  </si>
  <si>
    <t>Постановление администрации муниципального образования Крымский район №666 от 18.05.2018 "Об утверждении Положения об оплате труда работников муниципальных учреждений культуры и образовательных учреждений, подведомственных управлению культуры администрации муниципального образования",  Решению Совета Крымского городского поселения Крымский район № 541 от 25.12.2024 года , Соглашение №20-12 от 20.12.2024г "О принятии муниципальным образованием Крымский район в части полномочий по созданию условий для организации досуга и обеспечения жителей Крымского городского поселения Крымского района услугами организаций культуры муниципальному образованию Крымский район на 2024  год"</t>
  </si>
  <si>
    <t>1020200590</t>
  </si>
  <si>
    <t>1020300590</t>
  </si>
  <si>
    <t>Постановление администрации муниципального образования Крымский район№273 от 21.12.2022 "Об утверждении муниципальной программы муниципального образования Крымский район "Развитие культуры", Соглашение о предоставлении субсидии из краевого бюджета муниципального образования Краснодарского края № 123 от 14.02.2020г Комплектование и обеспечение сохранности библиотечных фондов библиотек поселений, межпоселенческих библиотек и библиотек городского округа (МБУ Крымская межпоселенческая районная библиотека).</t>
  </si>
  <si>
    <t>1010109810</t>
  </si>
  <si>
    <t>1020301440</t>
  </si>
  <si>
    <t>10203S2960</t>
  </si>
  <si>
    <t xml:space="preserve">Постановление администрации муниципального образования Крымский район № 3949 от 30.12.2022 г. «Об утверждении муниципальной программы муниципального образования Крымский район «Доступная среда»
</t>
  </si>
  <si>
    <t>0410111490</t>
  </si>
  <si>
    <t>0510310050</t>
  </si>
  <si>
    <t>Постановление администрации муниципального образования Крымский район №2351 от 29.12.2017г "Об утверждении муниципальной программы муниципального образования Крымский район "Формирование условий для духовно-нравственного развития граждан»</t>
  </si>
  <si>
    <t>1810209150</t>
  </si>
  <si>
    <t>Соглашение о предоставлении иного межбюджетного трансферта, имеющего целевое назначение, из бюджета субъекта Российской Федерации местному бюджету  № 03625000-1-2021-004 от 29.01.2021 года</t>
  </si>
  <si>
    <t>101A154540</t>
  </si>
  <si>
    <t>Соглашение № 204-826-2023-03625000-060 от 18.04.2023г. "О распределении иных межбюджетных трансфертов"</t>
  </si>
  <si>
    <t>1020262980</t>
  </si>
  <si>
    <t xml:space="preserve">Соглашение № 03625000-1-2023-008 от 08.02.2023 года о предоставлении субсидии из бюджета субъекта Российской Федерации местному бюджету. «Предоставление субсидий местным бюджетам муниципальных образований Краснодарского края в целях софинансирование расходных обязательств муниципальных образований Краснодарского края,
возникающих при реализации мероприятий по модернизации библиотек в части комплектования книжных фондов библиотек муниципальных образований Краснодарского края»
</t>
  </si>
  <si>
    <t>10103L5190</t>
  </si>
  <si>
    <t>10103R5190</t>
  </si>
  <si>
    <t>Субсидия в целях софинансирования расходных обязательств муниципальных образований Краснодарского края по созданию модельных муниципальных библиотек путем модернизации деятельности муниципальных библиотек и внедрения в них эффективных моделей управления (далее – Субсидия) в соответствии с лимитами бюджетных обязательств, доведенными Министерству как получателю средств бюджета субъекта Российской Федерации №03625000-1-2025-004 от 16.01.2025г.</t>
  </si>
  <si>
    <t>101Я554540</t>
  </si>
  <si>
    <t>10103L519F</t>
  </si>
  <si>
    <t>Субсидис в целях софинансирования расходных обязательств муниципальных образований Краснодарского края, возникающих при реализации мероприятий по модернизации библиотек в части комплектования книжных фондов библиотек муниципальных образований Краснодарского края (далее –Субсидия) в соответствии с лимитами бюджетных обязательств, доведенными Министерству как получателю средств бюджета субъекта Российской Федерации № 201-826-2023-03625000-020 от 02.06.2023г.</t>
  </si>
  <si>
    <t>10202S3310</t>
  </si>
  <si>
    <t>Управление образования администрации муниципального образования Крымский район</t>
  </si>
  <si>
    <t>Образование</t>
  </si>
  <si>
    <t xml:space="preserve">Организация предоставления общедоступного и бесплатного начального общего, основного общего, среднего (полного) общего образования по основным общеобразовательным программам, за исключением полномочий по финансовому обеспечению образовательного процесса </t>
  </si>
  <si>
    <t>Соглашения № 1-38, 82, 85, 86, 87 от 26.12.2023 г. На предоставление субсидий на выполнение муниципального задания на 2024 год.; Постановление гл.МО Крымский район № 4833 от 26.12.2023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286 от 14.02.2024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1036 от 15.05.2024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t>
  </si>
  <si>
    <t>01.01.2024 - 31.12.2024</t>
  </si>
  <si>
    <t>0210100590</t>
  </si>
  <si>
    <t>621</t>
  </si>
  <si>
    <t>Закон Краснодарского края от 18 декабря 2024 года № 5297 - КЗ "О  бюджете Краснодарского края на 2025 год и плановый период 2026 -2027 гг"</t>
  </si>
  <si>
    <t>0210160860</t>
  </si>
  <si>
    <t>0210360820</t>
  </si>
  <si>
    <t>Соглашение № 201-825-2023-03625000-077 от 31 января 2023 года о предоставлении субсидии из бюджета Краснодарского края бюджету муниципального образования Краснодарского края (субсидии на софинансирование расходных обязательств, возникающих при выполнении полномочий органов местного самоуправления по вопросам местного значения по организации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 за исключением мероприятий, предусмотренных пунктами 1.1. и 1.3. раздела 3 «Перечень основных мероприятий государственной программы Краснодарского края «Развитие образования»)</t>
  </si>
  <si>
    <t>01.01.2023-31.12.2023</t>
  </si>
  <si>
    <t>02102S3410</t>
  </si>
  <si>
    <t>Дополнительная помощь местным бюджетам для решения социально значимых вопросов (местные средства)</t>
  </si>
  <si>
    <t>0240262980</t>
  </si>
  <si>
    <t>Соглашения № 44 -76, 84, 103 от 26.12.2023 г. На предоставление субсидий на выполнение муниципального задания на 2024 год, ; Постановление гл.МО Крымский район № 4833 от 26.12.2023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286 от 14.02.2024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1036 от 15.05.2024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t>
  </si>
  <si>
    <t>0220100590</t>
  </si>
  <si>
    <t>0220160860</t>
  </si>
  <si>
    <t>0220263540</t>
  </si>
  <si>
    <t>Соглашение о предоставлении субсидии из бюджета Краснодарского края бюджету муниципального образования Краснодарского края от 9 февраля 2024 г No 201-825-2024-03625000-069 (проведение капитальных ремонтов зданий, помещений, сооружений, благоустройство территорий, прилегающих к зданиям и сооружениям)</t>
  </si>
  <si>
    <t>01.01.2024-31.12.2024</t>
  </si>
  <si>
    <t>02202S0100</t>
  </si>
  <si>
    <t>Капитальные вложения в объекты недвижимого имущества государственной (муниципальной) собственности</t>
  </si>
  <si>
    <t>31.01.2023 - 31.12.2023</t>
  </si>
  <si>
    <t>464</t>
  </si>
  <si>
    <t>02202S3410</t>
  </si>
  <si>
    <t xml:space="preserve">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и переоснащение пищевых блоков муниципальных общеобразовательных организаций) </t>
  </si>
  <si>
    <t>02202S3380</t>
  </si>
  <si>
    <t>Cоглашение о предоставлении субсидии из бюджета Краснодарского края бюджету муниципального образования Краснодарского края (приобретение движимого имущества для обеспечения функционирования вновь созданных и (или) создаваемых мест в муниципальных образовательных организациях) от 12 февраля 2024 г. No 201-825-2024-03625000-089</t>
  </si>
  <si>
    <t>12.02.2024 - 31.12.2024</t>
  </si>
  <si>
    <t>02202S3370</t>
  </si>
  <si>
    <t>Соглашение о предоставлении субсидии из бюджета Краснодарского края бюджету муниципального образования Краснодарского края от 22 января 2024 г. No 201-825-2024-03625000-023 (организация и обеспечение бесплатным горячим питанием обучающихся с ограниченными возможностями здоровья в муниципальных общеобразовательных организациях)</t>
  </si>
  <si>
    <t>02202S3550</t>
  </si>
  <si>
    <t>0220353032</t>
  </si>
  <si>
    <t>02203R3032</t>
  </si>
  <si>
    <t>0220360820</t>
  </si>
  <si>
    <t>0220462370</t>
  </si>
  <si>
    <t>Соглашение о предоставлении субсидии из бюджета Краснодарского края бюджетам муниципальных районов (городских округов) Краснодарского края на софинансирование расходных обязательств, возникающих при выполнении полномочий органов местного самоуправления муниципальных образований Краснодарского края по вопросам местного значения по организации бесплатного горячего питания обучающихся по образовательным программам начального общего образования в муниципальных образовательных организациях от 26 января 2024 г No 03625000-1-2024-001</t>
  </si>
  <si>
    <t>02204L3040</t>
  </si>
  <si>
    <t xml:space="preserve">1.     Постановление администрации муниципального образования Крымский район № 1902 от 1 ноября 2018 года «Об утверждении муниципальной программы муниципального образования Крымский район "Развитие образования на 2020 – 2024 годы" </t>
  </si>
  <si>
    <t>0220609130</t>
  </si>
  <si>
    <t>0220662500</t>
  </si>
  <si>
    <t>022ЕВ51790</t>
  </si>
  <si>
    <t>0230100590</t>
  </si>
  <si>
    <t>Соглашения № 42, 43, 80 от 26.12.2023 г. На предоставление субсидий на выполнение муниципального задания на 2024 год,Постановление гл.МО Крымский район № 4833 от 26.12.2023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286 от 14.02.2024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1036 от 15.05.2024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t>
  </si>
  <si>
    <t>Постановление гл.МО Крымский район № 4833 от 26.12.2023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286 от 14.02.2024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 Постановление гл.МО Крымский район № 1036 от 15.05.2024 года  О внесении изменений в постановление администрации муниципального образования Крымский район от 26 декабря 2023 года "Об утверждении Положения об отраслевой системе оплаты труда работников муниципальных образовательных организаций и муниципальных учреждений образования, подведомственных управлению образования администрации муниципального образования Крымский район (за исключением муниципальных образовательных организаций, реализующих образовательные программы физической культуры и спорта"</t>
  </si>
  <si>
    <t>614</t>
  </si>
  <si>
    <t>624</t>
  </si>
  <si>
    <t>Постановлекние администрации муниципального образования Крымский район № 805 от 05.04.2024 года "О внесении изменений в постановление администрации муниципального образования Крымский район от 14 июля 2023 года № 2190 "Об утверждении Порядка предоставления субсидии юридическим лицам, индивидуальным предпринимателям, физичсеким лицам - производителям товаров, работ, услуг на оплату соглашения о возмещении затрат,  связанных с оказанием муниципальных услуг в социальной сфере в соответствии с социальным сертификатом"</t>
  </si>
  <si>
    <t>0230100591</t>
  </si>
  <si>
    <t>615</t>
  </si>
  <si>
    <t>625</t>
  </si>
  <si>
    <t>635</t>
  </si>
  <si>
    <t>816</t>
  </si>
  <si>
    <t>0230360740</t>
  </si>
  <si>
    <t>622</t>
  </si>
  <si>
    <t>Муниципальная программа муниципального образования Крымский район " Физическая культура и спорт"</t>
  </si>
  <si>
    <t>1210110670</t>
  </si>
  <si>
    <t>Постановление администрации МО Крымский район № 1873 от 30.10.2018 "Об утверждении МП МО Крымский район "Физическая культура и спорт"(срок реализации - 2020-2024 годы)</t>
  </si>
  <si>
    <t>01.01.2019-31.12.2024</t>
  </si>
  <si>
    <t>610</t>
  </si>
  <si>
    <t>620</t>
  </si>
  <si>
    <t>Организация подготовки, переподготовки и повышения квалификации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а также профессиональной подго</t>
  </si>
  <si>
    <t>Решение Совета МО Крымский район №175 от 26.04.2017 г. "О принятии устава муниципального образования Крымский район</t>
  </si>
  <si>
    <t>гл.2 ст.10 п.1 пп.10</t>
  </si>
  <si>
    <t xml:space="preserve">26.04.2017-не ограничен; 
</t>
  </si>
  <si>
    <t xml:space="preserve">Постановление администрации МО Крымский район № 2154 от 29.07.2022 года "Об утверждении муниципальной программы муниципального образования Крымский район " Развитие образования на 2025 - 2029 годы"  </t>
  </si>
  <si>
    <t>0240320400</t>
  </si>
  <si>
    <t>Муниципальная программа МО Крымский район "Развитие образования"</t>
  </si>
  <si>
    <t>Постановление администрации муниципального образования Крымский район от 01.11.2018 года № 1902 "Об утверждении муниципального образования Крымский район "Развитие образования на 2020 - 2024 годы"</t>
  </si>
  <si>
    <t>Пост. № 1300,1301 от 18.12.2015 о создании муниципального казенного учреждения  ИМЦ, ЦОКО, Постановление администрации муниципального образования Крымский район от 14.10.2024 года № 2663 "О внесении изменений в постановление администрации муниципального образования Крымский район от 23 декабря 2021 года № 3854 "Положения об оплате труда работников муниципальных учреждений муниципального образования Крымский район</t>
  </si>
  <si>
    <t>28.07.2014- не ограничен</t>
  </si>
  <si>
    <t>0240500590</t>
  </si>
  <si>
    <t>Постановление администрации МО Крымский район №1902 от 01.11.2018 "Об утверждении МП МО Крымский район "Развитие образования" (срок реализации - 2020-2024 годы)</t>
  </si>
  <si>
    <t>113</t>
  </si>
  <si>
    <t>Соглашение № 03625000-1-2024-010 от 10.09.2024 года о предоставлении иного межбюджетного трансферта, имеющего целевое назначение, из бюджета Краснодарского края местному бюджету</t>
  </si>
  <si>
    <t>0240350500</t>
  </si>
  <si>
    <t>Соглашение № 03625000-1-2024-005 от 27.01.2024 года "в рамках реализации мероприяти регионального проекта "Патриотическое воспитание граждан Российской Федерации" (приобретение товаров (работ, услуг) в целях оснащения муниципальных общеобразовательныхорганизаций государственными символами Российской Федерации)</t>
  </si>
  <si>
    <t>022ЕВ57860</t>
  </si>
  <si>
    <t>0510260840</t>
  </si>
  <si>
    <t>Постановление администрации МО Крымский район № 2157 от 29.07. 2022 года "Об утверждении муниципальной программы муниципального образования Крымский район "Обеспечение безопасности населения" (срок реализации - 2025-2029 годы)</t>
  </si>
  <si>
    <t>0950110110</t>
  </si>
  <si>
    <t>0920110280</t>
  </si>
  <si>
    <t>Постановление администрации муниципального образования Крымский район № 2030 от 27.07. 2022 года "Об утверждении муниципальной программы муниципального образования Крымский район  "Формирование условий для духовно нравственного развития граждан" (срок реализации - 2025-2029 годы)</t>
  </si>
  <si>
    <t>Постановление администрации МО Крымский район № 2083 от 29.07. 2022 года "Об утверждении муниципальной программы муниципального образования Крымский район "Доступная среда" (срок реализации - 2025-2029 годы)</t>
  </si>
  <si>
    <t>Пост.гл.МО Крымский район от 19.09.2016 №850 Об утверждении МП МО Крымский район "Противодействие незаконному обороту наркотиков"</t>
  </si>
  <si>
    <t>01.01.2017-31.12.2019</t>
  </si>
  <si>
    <t>2110010120</t>
  </si>
  <si>
    <t>Постановление администрации муниципального образования Крымский район № 2087 от 29.07. 2022 года "Об утверждении муниципальной программы муниципального образования  Крымский район "Развитие топливно-энергетического комплекса" (срок реализации - 2025-2027 годы), Решение Совета МО Крымский район №175 от 26.04.2017 г. "О принятии устава муниципального образования Крымский район</t>
  </si>
  <si>
    <t xml:space="preserve">гл.2 ст.8 п.1 пп.3; </t>
  </si>
  <si>
    <t>01.01.2020-31.12.2024</t>
  </si>
  <si>
    <t>Муниципальная программа муниципального образования Крымский район "Дети Крымского района"</t>
  </si>
  <si>
    <t>гл.2 ст.8 п.1 пп.25</t>
  </si>
  <si>
    <t>Постановление администрации МО Крымский район №2156 от 29.07.2022 года "Об утверждении муниципальной программы муниципального образования Крымский район "Дети Крымского района"(срок реализации - 2025-20249годы)</t>
  </si>
  <si>
    <t>0510263110</t>
  </si>
  <si>
    <t>0510269120</t>
  </si>
  <si>
    <t>Постановление администрации муниципального образования Крымский район № 1860 от 15.07.2022 "Об утверждении муниципальной программы муниципального образования Крымский район "Физическая культура и спорт"(срок реализации - 2025-2029 годы)</t>
  </si>
  <si>
    <t>Социальная политика</t>
  </si>
  <si>
    <t>Соглашение № 23 о предоставлении в 202. году из бюджета Краснодарского края бюджету муниципального образования Крымский район единой субвенции в области социальной политики от 12.01.2023 года</t>
  </si>
  <si>
    <t>6410060670</t>
  </si>
  <si>
    <t>6410060680</t>
  </si>
  <si>
    <t>6410060720</t>
  </si>
  <si>
    <t>64100660720</t>
  </si>
  <si>
    <t>6410060730</t>
  </si>
  <si>
    <t>6410060710</t>
  </si>
  <si>
    <t>Соглашение № 23 о предоставлении в 2024 году из бюджета Краснодарского края бюджету муниципального образования Крымский район единой субвенции в области социальной политики от 17.01.2024 года</t>
  </si>
  <si>
    <t>6410069100</t>
  </si>
  <si>
    <t>6410069130</t>
  </si>
  <si>
    <t>6410069140</t>
  </si>
  <si>
    <t>Спорт высших достижений</t>
  </si>
  <si>
    <t>Всего по Управлению культуры администрации МО Крымский район</t>
  </si>
  <si>
    <t>Обеспечение условий для развития на территории муниципального района физической культуры, школьного спорта и массового спорта</t>
  </si>
  <si>
    <r>
      <t xml:space="preserve">Постановление администрации муниципального образования Крымский район </t>
    </r>
    <r>
      <rPr>
        <b/>
        <sz val="12"/>
        <rFont val="Times New Roman"/>
        <family val="1"/>
        <charset val="204"/>
      </rPr>
      <t>от 28.12.2016г. № 1282</t>
    </r>
    <r>
      <rPr>
        <sz val="12"/>
        <rFont val="Times New Roman"/>
        <family val="1"/>
        <charset val="204"/>
      </rPr>
      <t xml:space="preserve"> "О переименовании Муниципального бюджетного учреждения "Центр спортивной подготовки "Крымский" муниципального образования Крымский район в Муниципальное бюджетное учреждение "Спортивная школа "Крымская" муниципального образования Крымский район и об утверждении Устава Муниципального бюджетного учреждения "Спортивная школа "Крымская" муниципального образования Крымский район в новой редакции", </t>
    </r>
    <r>
      <rPr>
        <b/>
        <u/>
        <sz val="12"/>
        <rFont val="Times New Roman"/>
        <family val="1"/>
        <charset val="204"/>
      </rPr>
      <t>Соглашение от 26.12.23г. № 100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r>
      <rPr>
        <sz val="12"/>
        <rFont val="Times New Roman"/>
        <family val="1"/>
        <charset val="204"/>
      </rPr>
      <t xml:space="preserve">Соглашение </t>
    </r>
    <r>
      <rPr>
        <b/>
        <sz val="12"/>
        <rFont val="Times New Roman"/>
        <family val="1"/>
        <charset val="204"/>
      </rPr>
      <t xml:space="preserve">от </t>
    </r>
    <r>
      <rPr>
        <sz val="12"/>
        <rFont val="Times New Roman"/>
        <family val="1"/>
        <charset val="204"/>
      </rPr>
      <t xml:space="preserve">09.01.19г. № 100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Постановление администрации муниципального образования Крымский район </t>
    </r>
    <r>
      <rPr>
        <b/>
        <sz val="12"/>
        <rFont val="Times New Roman"/>
        <family val="1"/>
        <charset val="204"/>
      </rPr>
      <t>от 30.12.2016г. № 1315</t>
    </r>
    <r>
      <rPr>
        <sz val="12"/>
        <rFont val="Times New Roman"/>
        <family val="1"/>
        <charset val="204"/>
      </rPr>
      <t xml:space="preserve"> "О переименовании Муниципального бюджетного учреждения "Центр спортивной подготовки "Витязь" муниципального образования Крымский район в Муниципальное бюджетное учреждение "Спортивная школа "Витязь" муниципального образования Крымский район и утверждении Устава Муниципального бюджетного учреждения "Спортивная школа "Витязь" муниципального образования Крымский район в новой редакции", Соглашение </t>
    </r>
    <r>
      <rPr>
        <b/>
        <sz val="12"/>
        <rFont val="Times New Roman"/>
        <family val="1"/>
        <charset val="204"/>
      </rPr>
      <t xml:space="preserve">от 09.01.19г. № 101 </t>
    </r>
    <r>
      <rPr>
        <sz val="12"/>
        <rFont val="Times New Roman"/>
        <family val="1"/>
        <charset val="204"/>
      </rPr>
      <t xml:space="preserve"> О порядке и условиях предотавления субсидии на финансовое обеспечение выполнения муниципального задания на оказание муниципальных услуг (выполнения работ),</t>
    </r>
    <r>
      <rPr>
        <b/>
        <sz val="12"/>
        <rFont val="Times New Roman"/>
        <family val="1"/>
        <charset val="204"/>
      </rPr>
      <t>Соглашение от 26.12.23 г. № 101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</si>
  <si>
    <t>1220100590</t>
  </si>
  <si>
    <r>
      <t xml:space="preserve">Постановление администрации муниципального образования Крымский район </t>
    </r>
    <r>
      <rPr>
        <b/>
        <sz val="12"/>
        <rFont val="Times New Roman"/>
        <family val="1"/>
        <charset val="204"/>
      </rPr>
      <t>от 30.12.2016г. № 1362</t>
    </r>
    <r>
      <rPr>
        <sz val="12"/>
        <rFont val="Times New Roman"/>
        <family val="1"/>
        <charset val="204"/>
      </rPr>
      <t xml:space="preserve"> "О переименовании Муниципального бюджетного учреждения дополнительного образования детско-юношеской спортивной школы "Ровесник" муниципального образования Крымский район в Муниципальное бюджетное учреждение спортивная школа олимпийского резерва "Ровесник" муниципального образования Крымский район и об утверждении Устава Муниципального бюджетного учреждения спортивная школа олимпийского резерва "Ровесник" муниципального образования Крымский район в новой редакции"</t>
    </r>
    <r>
      <rPr>
        <b/>
        <sz val="12"/>
        <rFont val="Times New Roman"/>
        <family val="1"/>
        <charset val="204"/>
      </rPr>
      <t>.Соглашение от 26</t>
    </r>
    <r>
      <rPr>
        <b/>
        <u/>
        <sz val="12"/>
        <rFont val="Times New Roman"/>
        <family val="1"/>
        <charset val="204"/>
      </rPr>
      <t>.12.23 г. № 98</t>
    </r>
    <r>
      <rPr>
        <b/>
        <sz val="12"/>
        <rFont val="Times New Roman"/>
        <family val="1"/>
        <charset val="204"/>
      </rPr>
      <t xml:space="preserve">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r>
      <rPr>
        <sz val="12"/>
        <rFont val="Times New Roman"/>
        <family val="1"/>
        <charset val="204"/>
      </rPr>
      <t xml:space="preserve">; ,Соглашение </t>
    </r>
    <r>
      <rPr>
        <b/>
        <sz val="12"/>
        <rFont val="Times New Roman"/>
        <family val="1"/>
        <charset val="204"/>
      </rPr>
      <t xml:space="preserve">от </t>
    </r>
    <r>
      <rPr>
        <sz val="12"/>
        <rFont val="Times New Roman"/>
        <family val="1"/>
        <charset val="204"/>
      </rPr>
      <t>09.01.19г. № 98</t>
    </r>
    <r>
      <rPr>
        <b/>
        <sz val="12"/>
        <rFont val="Times New Roman"/>
        <family val="1"/>
        <charset val="204"/>
      </rPr>
      <t xml:space="preserve"> </t>
    </r>
    <r>
      <rPr>
        <sz val="12"/>
        <rFont val="Times New Roman"/>
        <family val="1"/>
        <charset val="204"/>
      </rPr>
      <t xml:space="preserve">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Постановление администрации муниципального образования Крымский район </t>
    </r>
    <r>
      <rPr>
        <b/>
        <sz val="12"/>
        <rFont val="Times New Roman"/>
        <family val="1"/>
        <charset val="204"/>
      </rPr>
      <t>от 28.12.2016г. № 1285</t>
    </r>
    <r>
      <rPr>
        <sz val="12"/>
        <rFont val="Times New Roman"/>
        <family val="1"/>
        <charset val="204"/>
      </rPr>
      <t xml:space="preserve"> "О переименовании Муниципального бюджетного учреждения дополнительного образования детско-юношеской спортивной школы "Урожай" станицы Варениковской муниципального образования Крымский район в Муниципальное бюджетное учреждение "Спортивная школа "Урожай" станицы Варениковской муниципального образования Крымский район и об утверждении Устава Муниципального бюджетного учреждения "Спортивная школа "Урожай" станицы Варениковской муниципального образования Крымский район в новой редакции", Соглашение от 09.01.19г. № 99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t>
    </r>
    <r>
      <rPr>
        <b/>
        <sz val="12"/>
        <rFont val="Times New Roman"/>
        <family val="1"/>
        <charset val="204"/>
      </rPr>
      <t xml:space="preserve"> Соглашение от 26.12.23г. № 99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</si>
  <si>
    <t>1220200590</t>
  </si>
  <si>
    <t>Постановлением администрации муниципального образования Крымский район от 06.08.2013г. № 1505 "О создании Муниципального автономного учреждения спортивный комплекс с плавательным бассейном "Жемчужина"муниципального образования Крымский район"</t>
  </si>
  <si>
    <t>1210300590</t>
  </si>
  <si>
    <t>Постановление администрации муниципального образования Крымский район от 24.04.2020 г. № 844 "Об установлении расходного обязательства в целях обеспечения условий для развития физической культуры и массового спорта в части оплаты труда инструкторов по спорту  на территории  муниципального образования Крымский район"</t>
  </si>
  <si>
    <t>12202S2820</t>
  </si>
  <si>
    <t>Постановлением администрации муниципального образования Крымский район от 13.04.2022г. № 856 "Об установлении расходного обязательства в целях обеспечения условий для развития физической культуры и массового спорта в части приобретения автобусов и микроавтобусов для муниципальных физкультурнр-спортивных организаций отрасли "Физическая культура и спорт" на территории муниципального образования Крымский район"</t>
  </si>
  <si>
    <t>12202S3570</t>
  </si>
  <si>
    <t xml:space="preserve">Соглашение между министерством физической культуры и спорта Краснодарсеого края и муниципальным образованием Крымский район о реализации Закона Краснодарского края от 06.02.2008г. №1376-КЗ </t>
  </si>
  <si>
    <t>1210260740</t>
  </si>
  <si>
    <t>Соглашение № 201-824-2023-03625000-089 от 05.12.2023 г. "О предоставлении субсидии из бюджета Краснодарскому края  бюджету муниципального образования Крымский район ; Постановление администрации муниципального образования Крымский район от 21.12.2023 г. № 001/23 "О передаче полномочий муниципального заказчика при  осуществление бюджетных инвестиций в форме капитальных вложений в обьекты муниципальной собственности за счет средств бюджета  муниципального образования Крымский район"</t>
  </si>
  <si>
    <t>12301S0470</t>
  </si>
  <si>
    <t>Постановление администрации муниципального образования Крымский район от 24.04.2020 г. № 843 "Об установлении расходного обязательства по реализации мероприятий, направленных на развитие детско-юношеского спорта в целях создания условий для подготовки спортивных сборных команд муниципального образования Крымский район и участие в обеспечении подготовки спортивного резерва для спортивных сборных команд Краснодарского края на территории  муниципального образования Крымский район"</t>
  </si>
  <si>
    <t>12201S2690</t>
  </si>
  <si>
    <t>Постановление администрации муниципального образования Крымский район от 06.05.2019 г. № 690 "Об утверждении Порядка расходования субсидий из краевого бюджета на дополнительную помощь местным бюджетам для решения социально значимых вопросов местного значения"</t>
  </si>
  <si>
    <t>1220102980</t>
  </si>
  <si>
    <t>1220262980</t>
  </si>
  <si>
    <t xml:space="preserve">Выполнение работ по обьекту капитального ремонта спортивного зала   "Постановление администрации муниципального образования Крымский район от 31.05.2023 г. № 1655 "О согласовании решения осуществления закупки у единственного поставщика (подрядчика, исполнителя)", </t>
  </si>
  <si>
    <t>12202S0340</t>
  </si>
  <si>
    <t>Соглашение № 201-829-2024-03625000-047 от 29.03.2024 г. "О предоставлении субсидии из бюджета Краснодарскому края  бюджету муниципального образования Крымский район" на приобретение и монтаж оборудования для создания модульных спортивных сооружений; Дополнительное  соглашение № 201-829-2024-03625000-047/1 от 08.11.2024 г. "О предоставлении субсидии из бюджета Краснодарскому края  бюджету муниципального образования Крымский район" на приобретение и монтаж оборудования для создания модульных спортивных сооружений.</t>
  </si>
  <si>
    <t>12301S0120</t>
  </si>
  <si>
    <t>Закон Краснодарского края от 20.12.2023г. №5053-КЗ"О бюджете КК на 2024 г. И на плановый период 2025и 2026 годов"Постановление главы администрации (губернатора)КК от 11.05.2011 г. №475 (ред.от 19.06.2023г.) "О предоставлении мер социальной поддержки педработникам ОО, проживающим и работающим в сельских населенных пунктах, рабочих поселках (ПГТ) на территории КК, по оплате жилых помещений, отопления и освещения"</t>
  </si>
  <si>
    <t>Постановление администрации муниципального образования Крымский район от 24.04.2020 г. № 845 "Об установлении расходного обязательства, связанного со строительством центра единоборств, предусмотренного подпунктом 1.6.1.7 приложения 3 к государственной программе Краснодарского края "Развитие физической культуры и спорта", на территории муниципального образования Крымский район"</t>
  </si>
  <si>
    <t>12202S2880</t>
  </si>
  <si>
    <t xml:space="preserve"> Постановление администрации муниципального образования Крымский район №3182 от 28.10.2022г. "Об утверждении муниципальной программы муниципального образования Крымский район «Укрепление общественного здоровья» </t>
  </si>
  <si>
    <t>2910011590</t>
  </si>
  <si>
    <t>Постановление администрации муниципального образования Крымский район от 31.12.2019г. № 2814 о внесении изменений в ппостановление админитстрации МО Крымский район "Об утверждении муниципальной программы муниципального образования Крымский район "Развитие физической культуры и спорта"</t>
  </si>
  <si>
    <t>0410109180</t>
  </si>
  <si>
    <t xml:space="preserve">Организация проведения официальных физкультурно-оздоровительных и спортивных мероприятий муниципального района </t>
  </si>
  <si>
    <t>241</t>
  </si>
  <si>
    <t>Постановление администрации муниципального образования Крымский район от 19.12.2018г. № 2206 "Об утверждении муниципальной программы муниципального образования Крымский район "Дети Крымского района на 2020-2024 годы"</t>
  </si>
  <si>
    <t>Всего по Управлению по ФК и спорта администрации МО Крымский район</t>
  </si>
  <si>
    <t>Соглашения  № 26 о предоставлении в 2025 году из бюджета Краснодарского края бюджету муниципального образования Крымский муниципальный район Краснодарского края единой субвенции в области социальной политики</t>
  </si>
  <si>
    <t>Всего по  Управлению опеки и попечительства в отношении несовершеннолетних администрации муниципального образования Крымский район</t>
  </si>
  <si>
    <t>организация и осуществление мероприятий межпоселенческого характера по работе с детьми и молодежью</t>
  </si>
  <si>
    <t xml:space="preserve"> 131-ФЗ от 06.10.03 г.</t>
  </si>
  <si>
    <t>ст.15 п.27</t>
  </si>
  <si>
    <t>1.Устав МО Крымский район, принятый решением Совета МО Крымский район №175 от 26.04.2017г. 2. Положение об отделе по делам молодежи , утвержденное реш.совета №193 от 26.07.2017 г., 3. Положение об оплате труда, утвержденное постановлением администрации МО Крымский район от 22.06.2018 года № 946</t>
  </si>
  <si>
    <t>1. с 26.04.2017г.-не ограничен 2.26.07.2017г.-не ограничен 3. с 1.06.2018 г - не ограничен</t>
  </si>
  <si>
    <t>1.Устав МУ "ЦКСОПМ "Вариант" , утв.пост.главы МО Крымский район от 24.06.09 г. №1882, 2.Согл.№2 от 12.01.2015 г.</t>
  </si>
  <si>
    <t>1.С даты утверждения до внесения изменений, 2.12.01.2015 г.-31.12.2015 г.</t>
  </si>
  <si>
    <t>1510100590</t>
  </si>
  <si>
    <t>1.Устав МКУ "Центр молодежной политики", утв.пост.адм. МО Крымский район №10 от 25.01.16 г.</t>
  </si>
  <si>
    <t>п.п.1.1</t>
  </si>
  <si>
    <t>1.01.01.2016 г.- не ограничен</t>
  </si>
  <si>
    <t>Приказ об утвержд.штатного расписания №5-од от 09.01.23 г.</t>
  </si>
  <si>
    <t>09.01.24г.-31.12.24г.</t>
  </si>
  <si>
    <t>Распоряжение рук-ля</t>
  </si>
  <si>
    <t>Муниципальные контракты на 2023 год</t>
  </si>
  <si>
    <t>с даты заключения - 31.12.24 г.</t>
  </si>
  <si>
    <t>Пособия, компенсации и иные социальные выплаты</t>
  </si>
  <si>
    <t xml:space="preserve"> с 01.01.20 - не ограничен</t>
  </si>
  <si>
    <t>1516022</t>
  </si>
  <si>
    <t>Постановление №1964 от 19.11.2018 г.  «Об утверждении муниципальной программы муниципального образования Крымский район «Молодёжь Крымского района» (с изменениями и дополнениями), от 29.07.2022 № 2086 (на 2025-2029гг)</t>
  </si>
  <si>
    <t>1. С даты подписания по 31.12.2024 г.</t>
  </si>
  <si>
    <t>1510110900</t>
  </si>
  <si>
    <t>Муниципальные контракты на окозание услуг</t>
  </si>
  <si>
    <t xml:space="preserve">1. С даты подписания по 31.12.24 г., 2. с даты подписания по 31.12.24 г. </t>
  </si>
  <si>
    <t xml:space="preserve">Муниципальная программа муниципального образования Крымский район "Укрепление общественного здоровья" </t>
  </si>
  <si>
    <t>Постановление от 28.10.2022 года № 3182</t>
  </si>
  <si>
    <t>С 01.01.2023 г.-31.12.2027 г.</t>
  </si>
  <si>
    <t>1. С даты подписания по 31.12.2027 г.</t>
  </si>
  <si>
    <t xml:space="preserve">Муниципальная программа муниципального образования Крымский район "Дети Крымского района" </t>
  </si>
  <si>
    <t>Постановление администрации муниципального образования Крымский район от 19.12.2018 года № 2206  (с измененями и дополнениями), от 29.07.2022 № 2156 (на 2025-2029 гг)</t>
  </si>
  <si>
    <t>С даты подписания по 31.12.2024г</t>
  </si>
  <si>
    <t>Всего по Отделу молодежи администрации МО Крымский район</t>
  </si>
  <si>
    <t>Всего расходных обязательств по муниципальному образованию Крымский район</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</si>
</sst>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 #,##0.00\ &quot;₽&quot;_-;\-* #,##0.00\ &quot;₽&quot;_-;_-* &quot;-&quot;??\ &quot;₽&quot;_-;_-@_-"/>
    <numFmt numFmtId="164" formatCode="_-* #,##0.00_р_._-;\-* #,##0.00_р_._-;_-* &quot;-&quot;??_р_._-;_-@_-"/>
    <numFmt numFmtId="165" formatCode="#,##0.0"/>
    <numFmt numFmtId="166" formatCode="0.0"/>
    <numFmt numFmtId="167" formatCode="000000"/>
  </numFmts>
  <fonts count="77" x14ac:knownFonts="1">
    <font>
      <sz val="11"/>
      <color theme="1"/>
      <name val="Calibri"/>
      <family val="2"/>
      <scheme val="minor"/>
    </font>
    <font>
      <sz val="10"/>
      <name val="Times New Roman"/>
      <family val="1"/>
      <charset val="204"/>
    </font>
    <font>
      <sz val="14"/>
      <name val="Times New Roman"/>
      <family val="1"/>
      <charset val="204"/>
    </font>
    <font>
      <sz val="11"/>
      <color theme="1"/>
      <name val="Calibri"/>
      <family val="2"/>
      <scheme val="minor"/>
    </font>
    <font>
      <sz val="10"/>
      <name val="Bookman Old Style"/>
      <family val="1"/>
      <charset val="204"/>
    </font>
    <font>
      <b/>
      <sz val="18"/>
      <name val="Times New Roman"/>
      <family val="1"/>
      <charset val="204"/>
    </font>
    <font>
      <b/>
      <sz val="16"/>
      <name val="Times New Roman"/>
      <family val="1"/>
      <charset val="204"/>
    </font>
    <font>
      <sz val="11"/>
      <name val="Times New Roman"/>
      <family val="1"/>
      <charset val="204"/>
    </font>
    <font>
      <sz val="11"/>
      <name val="Times New Roman Cyr"/>
      <family val="1"/>
      <charset val="204"/>
    </font>
    <font>
      <sz val="11"/>
      <name val="Arial Cyr"/>
      <charset val="204"/>
    </font>
    <font>
      <b/>
      <sz val="11"/>
      <name val="Times New Roman"/>
      <family val="1"/>
      <charset val="204"/>
    </font>
    <font>
      <b/>
      <i/>
      <sz val="11"/>
      <name val="Bookman Old Style"/>
      <family val="1"/>
      <charset val="204"/>
    </font>
    <font>
      <b/>
      <sz val="10"/>
      <name val="Bookman Old Style"/>
      <family val="1"/>
      <charset val="204"/>
    </font>
    <font>
      <b/>
      <i/>
      <sz val="11"/>
      <name val="Times New Roman"/>
      <family val="1"/>
      <charset val="204"/>
    </font>
    <font>
      <sz val="11"/>
      <color rgb="FFFF0000"/>
      <name val="Times New Roman"/>
      <family val="1"/>
      <charset val="204"/>
    </font>
    <font>
      <b/>
      <i/>
      <sz val="10"/>
      <name val="Bookman Old Style"/>
      <family val="1"/>
      <charset val="204"/>
    </font>
    <font>
      <sz val="12"/>
      <name val="Times New Roman"/>
      <family val="1"/>
      <charset val="204"/>
    </font>
    <font>
      <b/>
      <sz val="14"/>
      <name val="Times New Roman"/>
      <family val="1"/>
      <charset val="204"/>
    </font>
    <font>
      <b/>
      <sz val="12"/>
      <name val="Times New Roman"/>
      <family val="1"/>
      <charset val="204"/>
    </font>
    <font>
      <b/>
      <i/>
      <sz val="14"/>
      <name val="Times New Roman"/>
      <family val="1"/>
      <charset val="204"/>
    </font>
    <font>
      <b/>
      <i/>
      <sz val="16"/>
      <name val="Times New Roman"/>
      <family val="1"/>
      <charset val="204"/>
    </font>
    <font>
      <b/>
      <sz val="10"/>
      <name val="Times New Roman"/>
      <family val="1"/>
      <charset val="204"/>
    </font>
    <font>
      <sz val="9"/>
      <name val="Times New Roman"/>
      <family val="1"/>
      <charset val="204"/>
    </font>
    <font>
      <sz val="10"/>
      <color theme="1"/>
      <name val="Times New Roman"/>
      <family val="1"/>
      <charset val="204"/>
    </font>
    <font>
      <sz val="9"/>
      <color theme="2" tint="-0.499984740745262"/>
      <name val="Times New Roman"/>
      <family val="1"/>
      <charset val="204"/>
    </font>
    <font>
      <sz val="10"/>
      <name val="Arial"/>
      <family val="2"/>
      <charset val="204"/>
    </font>
    <font>
      <sz val="16"/>
      <name val="Times New Roman"/>
      <family val="1"/>
      <charset val="204"/>
    </font>
    <font>
      <b/>
      <i/>
      <sz val="12"/>
      <name val="Times New Roman"/>
      <family val="1"/>
      <charset val="204"/>
    </font>
    <font>
      <b/>
      <sz val="9"/>
      <name val="Times New Roman"/>
      <family val="1"/>
      <charset val="204"/>
    </font>
    <font>
      <sz val="8"/>
      <color rgb="FFFF0000"/>
      <name val="Times New Roman"/>
      <family val="1"/>
      <charset val="204"/>
    </font>
    <font>
      <sz val="16"/>
      <color rgb="FFFF0000"/>
      <name val="Times New Roman"/>
      <family val="1"/>
      <charset val="204"/>
    </font>
    <font>
      <sz val="10"/>
      <color rgb="FFFF0000"/>
      <name val="Times New Roman"/>
      <family val="1"/>
      <charset val="204"/>
    </font>
    <font>
      <b/>
      <sz val="10"/>
      <name val="Arial Cyr"/>
      <charset val="204"/>
    </font>
    <font>
      <b/>
      <sz val="16"/>
      <color rgb="FFFF0000"/>
      <name val="Times New Roman"/>
      <family val="1"/>
      <charset val="204"/>
    </font>
    <font>
      <b/>
      <sz val="10"/>
      <color rgb="FFFF0000"/>
      <name val="Times New Roman"/>
      <family val="1"/>
      <charset val="204"/>
    </font>
    <font>
      <b/>
      <sz val="12"/>
      <color rgb="FFFF0000"/>
      <name val="Times New Roman"/>
      <family val="1"/>
      <charset val="204"/>
    </font>
    <font>
      <sz val="12"/>
      <color rgb="FFFF0000"/>
      <name val="Times New Roman"/>
      <family val="1"/>
      <charset val="204"/>
    </font>
    <font>
      <sz val="8"/>
      <name val="Times New Roman"/>
      <family val="1"/>
      <charset val="204"/>
    </font>
    <font>
      <b/>
      <sz val="14"/>
      <name val="Arial Cyr"/>
      <charset val="204"/>
    </font>
    <font>
      <sz val="9"/>
      <color rgb="FFFF0000"/>
      <name val="Times New Roman"/>
      <family val="1"/>
      <charset val="204"/>
    </font>
    <font>
      <b/>
      <sz val="8"/>
      <name val="Bookman Old Style"/>
      <family val="1"/>
      <charset val="204"/>
    </font>
    <font>
      <b/>
      <sz val="9"/>
      <name val="Bookman Old Style"/>
      <family val="1"/>
      <charset val="204"/>
    </font>
    <font>
      <b/>
      <i/>
      <sz val="8"/>
      <name val="Bookman Old Style"/>
      <family val="1"/>
      <charset val="204"/>
    </font>
    <font>
      <b/>
      <i/>
      <sz val="9"/>
      <name val="Bookman Old Style"/>
      <family val="1"/>
      <charset val="204"/>
    </font>
    <font>
      <b/>
      <i/>
      <sz val="10"/>
      <name val="Times New Roman"/>
      <family val="1"/>
      <charset val="204"/>
    </font>
    <font>
      <sz val="8"/>
      <name val="Bookman Old Style"/>
      <family val="1"/>
      <charset val="204"/>
    </font>
    <font>
      <sz val="9"/>
      <name val="Bookman Old Style"/>
      <family val="1"/>
      <charset val="204"/>
    </font>
    <font>
      <b/>
      <i/>
      <sz val="8"/>
      <name val="Times New Roman"/>
      <family val="1"/>
      <charset val="204"/>
    </font>
    <font>
      <i/>
      <sz val="10"/>
      <name val="Bookman Old Style"/>
      <family val="1"/>
      <charset val="204"/>
    </font>
    <font>
      <i/>
      <sz val="10"/>
      <name val="Times New Roman"/>
      <family val="1"/>
      <charset val="204"/>
    </font>
    <font>
      <b/>
      <sz val="8"/>
      <name val="Times New Roman"/>
      <family val="1"/>
      <charset val="204"/>
    </font>
    <font>
      <b/>
      <sz val="12"/>
      <name val="Bookman Old Style"/>
      <family val="1"/>
      <charset val="204"/>
    </font>
    <font>
      <sz val="11"/>
      <name val="Bookman Old Style"/>
      <family val="1"/>
      <charset val="204"/>
    </font>
    <font>
      <sz val="6.5"/>
      <name val="Times New Roman"/>
      <family val="1"/>
      <charset val="204"/>
    </font>
    <font>
      <sz val="7"/>
      <name val="Times New Roman"/>
      <family val="1"/>
      <charset val="204"/>
    </font>
    <font>
      <sz val="5"/>
      <name val="Times New Roman"/>
      <family val="1"/>
      <charset val="204"/>
    </font>
    <font>
      <sz val="6"/>
      <name val="Times New Roman"/>
      <family val="1"/>
      <charset val="204"/>
    </font>
    <font>
      <b/>
      <i/>
      <sz val="9"/>
      <name val="Times New Roman"/>
      <family val="1"/>
      <charset val="204"/>
    </font>
    <font>
      <b/>
      <i/>
      <sz val="12"/>
      <name val="Bookman Old Style"/>
      <family val="1"/>
      <charset val="204"/>
    </font>
    <font>
      <b/>
      <i/>
      <sz val="12"/>
      <color rgb="FFFF0000"/>
      <name val="Times New Roman"/>
      <family val="1"/>
      <charset val="204"/>
    </font>
    <font>
      <b/>
      <i/>
      <sz val="12"/>
      <color rgb="FFFF0000"/>
      <name val="Bookman Old Style"/>
      <family val="1"/>
      <charset val="204"/>
    </font>
    <font>
      <sz val="10"/>
      <color rgb="FFFF0000"/>
      <name val="Bookman Old Style"/>
      <family val="1"/>
      <charset val="204"/>
    </font>
    <font>
      <sz val="12"/>
      <name val="Arial Cyr"/>
      <charset val="204"/>
    </font>
    <font>
      <b/>
      <sz val="14"/>
      <name val="Bookman Old Style"/>
      <family val="1"/>
      <charset val="204"/>
    </font>
    <font>
      <b/>
      <u/>
      <sz val="12"/>
      <name val="Times New Roman"/>
      <family val="1"/>
      <charset val="204"/>
    </font>
    <font>
      <b/>
      <sz val="10"/>
      <name val="ITC Bookman Light"/>
      <family val="1"/>
    </font>
    <font>
      <sz val="15"/>
      <name val="Arial Cyr"/>
      <charset val="204"/>
    </font>
    <font>
      <b/>
      <i/>
      <sz val="15"/>
      <name val="Times New Roman"/>
      <family val="1"/>
      <charset val="204"/>
    </font>
    <font>
      <sz val="15"/>
      <name val="Times New Roman"/>
      <family val="1"/>
      <charset val="204"/>
    </font>
    <font>
      <sz val="15"/>
      <name val="Bookman Old Style"/>
      <family val="1"/>
      <charset val="204"/>
    </font>
    <font>
      <b/>
      <sz val="11"/>
      <color theme="1"/>
      <name val="Times New Roman"/>
      <family val="1"/>
      <charset val="204"/>
    </font>
    <font>
      <b/>
      <sz val="9"/>
      <color theme="1"/>
      <name val="Times New Roman"/>
      <family val="1"/>
      <charset val="204"/>
    </font>
    <font>
      <b/>
      <i/>
      <sz val="9"/>
      <color rgb="FFFF0000"/>
      <name val="Times New Roman"/>
      <family val="1"/>
      <charset val="204"/>
    </font>
    <font>
      <b/>
      <i/>
      <sz val="9"/>
      <color theme="1"/>
      <name val="Times New Roman"/>
      <family val="1"/>
      <charset val="204"/>
    </font>
    <font>
      <sz val="9"/>
      <color theme="1"/>
      <name val="Times New Roman"/>
      <family val="1"/>
      <charset val="204"/>
    </font>
    <font>
      <b/>
      <sz val="10"/>
      <color indexed="10"/>
      <name val="Bookman Old Style"/>
      <family val="1"/>
      <charset val="204"/>
    </font>
    <font>
      <b/>
      <i/>
      <sz val="10"/>
      <color indexed="10"/>
      <name val="Bookman Old Style"/>
      <family val="1"/>
      <charset val="204"/>
    </font>
  </fonts>
  <fills count="13">
    <fill>
      <patternFill patternType="none"/>
    </fill>
    <fill>
      <patternFill patternType="gray125"/>
    </fill>
    <fill>
      <patternFill patternType="solid">
        <fgColor theme="5" tint="0.79998168889431442"/>
        <bgColor indexed="64"/>
      </patternFill>
    </fill>
    <fill>
      <patternFill patternType="solid">
        <fgColor rgb="FFFFFF00"/>
        <bgColor indexed="64"/>
      </patternFill>
    </fill>
    <fill>
      <patternFill patternType="solid">
        <fgColor theme="0"/>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rgb="FF92D050"/>
        <bgColor indexed="64"/>
      </patternFill>
    </fill>
    <fill>
      <patternFill patternType="solid">
        <fgColor rgb="FFFFFFFF"/>
        <bgColor indexed="64"/>
      </patternFill>
    </fill>
    <fill>
      <patternFill patternType="solid">
        <fgColor theme="6" tint="0.39997558519241921"/>
        <bgColor indexed="64"/>
      </patternFill>
    </fill>
    <fill>
      <patternFill patternType="solid">
        <fgColor theme="9" tint="0.79998168889431442"/>
        <bgColor indexed="64"/>
      </patternFill>
    </fill>
    <fill>
      <patternFill patternType="solid">
        <fgColor theme="2" tint="-9.9978637043366805E-2"/>
        <bgColor indexed="64"/>
      </patternFill>
    </fill>
  </fills>
  <borders count="2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s>
  <cellStyleXfs count="5">
    <xf numFmtId="0" fontId="0" fillId="0" borderId="0"/>
    <xf numFmtId="164" fontId="3" fillId="0" borderId="0" applyFont="0" applyFill="0" applyBorder="0" applyAlignment="0" applyProtection="0"/>
    <xf numFmtId="44" fontId="3" fillId="0" borderId="0" applyFont="0" applyFill="0" applyBorder="0" applyAlignment="0" applyProtection="0"/>
    <xf numFmtId="0" fontId="25" fillId="0" borderId="0"/>
    <xf numFmtId="9" fontId="3" fillId="0" borderId="0" applyFont="0" applyFill="0" applyBorder="0" applyAlignment="0" applyProtection="0"/>
  </cellStyleXfs>
  <cellXfs count="1048">
    <xf numFmtId="0" fontId="0" fillId="0" borderId="0" xfId="0"/>
    <xf numFmtId="0" fontId="4" fillId="0" borderId="0" xfId="0" applyFont="1"/>
    <xf numFmtId="0" fontId="1" fillId="0" borderId="0" xfId="0" applyFont="1" applyAlignment="1">
      <alignment vertical="justify"/>
    </xf>
    <xf numFmtId="49" fontId="1" fillId="0" borderId="0" xfId="0" applyNumberFormat="1" applyFont="1" applyAlignment="1">
      <alignment vertical="justify"/>
    </xf>
    <xf numFmtId="49" fontId="1" fillId="0" borderId="0" xfId="0" applyNumberFormat="1" applyFont="1"/>
    <xf numFmtId="49" fontId="1" fillId="0" borderId="0" xfId="0" applyNumberFormat="1" applyFont="1" applyFill="1"/>
    <xf numFmtId="2" fontId="1" fillId="0" borderId="0" xfId="0" applyNumberFormat="1" applyFont="1" applyFill="1" applyAlignment="1">
      <alignment horizontal="right"/>
    </xf>
    <xf numFmtId="2" fontId="1" fillId="0" borderId="0" xfId="0" applyNumberFormat="1" applyFont="1" applyAlignment="1">
      <alignment horizontal="right"/>
    </xf>
    <xf numFmtId="0" fontId="1" fillId="0" borderId="2" xfId="0" applyFont="1" applyFill="1" applyBorder="1" applyAlignment="1">
      <alignment horizontal="center"/>
    </xf>
    <xf numFmtId="0" fontId="1" fillId="0" borderId="2" xfId="0" applyFont="1" applyFill="1" applyBorder="1" applyAlignment="1">
      <alignment horizontal="center" vertical="justify"/>
    </xf>
    <xf numFmtId="0" fontId="4" fillId="0" borderId="0" xfId="0" applyFont="1" applyAlignment="1">
      <alignment horizontal="center"/>
    </xf>
    <xf numFmtId="0" fontId="4" fillId="0" borderId="0" xfId="0" applyFont="1" applyFill="1" applyBorder="1" applyAlignment="1">
      <alignment horizontal="center"/>
    </xf>
    <xf numFmtId="0" fontId="4" fillId="0" borderId="0" xfId="0" applyFont="1" applyBorder="1" applyAlignment="1">
      <alignment horizontal="center"/>
    </xf>
    <xf numFmtId="0" fontId="10" fillId="0" borderId="0" xfId="0" applyFont="1" applyFill="1" applyBorder="1" applyAlignment="1">
      <alignment wrapText="1" shrinkToFit="1"/>
    </xf>
    <xf numFmtId="0" fontId="11" fillId="0" borderId="0" xfId="0" applyFont="1" applyBorder="1"/>
    <xf numFmtId="0" fontId="11" fillId="0" borderId="0" xfId="0" applyFont="1"/>
    <xf numFmtId="49" fontId="7" fillId="0" borderId="2" xfId="0" applyNumberFormat="1" applyFont="1" applyBorder="1" applyAlignment="1">
      <alignment vertical="top" wrapText="1"/>
    </xf>
    <xf numFmtId="49" fontId="7" fillId="0" borderId="2" xfId="0" applyNumberFormat="1" applyFont="1" applyBorder="1" applyAlignment="1">
      <alignment horizontal="left" vertical="top" wrapText="1"/>
    </xf>
    <xf numFmtId="49" fontId="10" fillId="0" borderId="2" xfId="0" applyNumberFormat="1" applyFont="1" applyFill="1" applyBorder="1"/>
    <xf numFmtId="0" fontId="12" fillId="0" borderId="0" xfId="0" applyFont="1"/>
    <xf numFmtId="49" fontId="10" fillId="0" borderId="2" xfId="0" applyNumberFormat="1" applyFont="1" applyFill="1" applyBorder="1" applyAlignment="1">
      <alignment vertical="top" wrapText="1"/>
    </xf>
    <xf numFmtId="0" fontId="12" fillId="0" borderId="0" xfId="0" applyFont="1" applyFill="1"/>
    <xf numFmtId="49" fontId="14" fillId="0" borderId="3" xfId="0" applyNumberFormat="1" applyFont="1" applyFill="1" applyBorder="1" applyAlignment="1">
      <alignment horizontal="center"/>
    </xf>
    <xf numFmtId="0" fontId="7" fillId="0" borderId="3" xfId="0" applyNumberFormat="1" applyFont="1" applyFill="1" applyBorder="1" applyAlignment="1">
      <alignment vertical="top" wrapText="1"/>
    </xf>
    <xf numFmtId="49" fontId="13" fillId="0" borderId="3" xfId="0" applyNumberFormat="1" applyFont="1" applyFill="1" applyBorder="1" applyAlignment="1">
      <alignment vertical="top"/>
    </xf>
    <xf numFmtId="49" fontId="14" fillId="0" borderId="2" xfId="0" applyNumberFormat="1" applyFont="1" applyFill="1" applyBorder="1" applyAlignment="1">
      <alignment horizontal="center"/>
    </xf>
    <xf numFmtId="0" fontId="7" fillId="0" borderId="2" xfId="0" applyNumberFormat="1" applyFont="1" applyFill="1" applyBorder="1" applyAlignment="1">
      <alignment vertical="top" wrapText="1"/>
    </xf>
    <xf numFmtId="49" fontId="13" fillId="0" borderId="2" xfId="0" applyNumberFormat="1" applyFont="1" applyFill="1" applyBorder="1" applyAlignment="1">
      <alignment vertical="top"/>
    </xf>
    <xf numFmtId="49" fontId="7" fillId="0" borderId="2" xfId="0" applyNumberFormat="1" applyFont="1" applyFill="1" applyBorder="1" applyAlignment="1">
      <alignment vertical="top" wrapText="1"/>
    </xf>
    <xf numFmtId="49" fontId="7" fillId="0" borderId="2" xfId="0" applyNumberFormat="1" applyFont="1" applyFill="1" applyBorder="1" applyAlignment="1">
      <alignment horizontal="left" vertical="center" wrapText="1"/>
    </xf>
    <xf numFmtId="49" fontId="7" fillId="0" borderId="2" xfId="0" applyNumberFormat="1" applyFont="1" applyFill="1" applyBorder="1" applyAlignment="1">
      <alignment vertical="top"/>
    </xf>
    <xf numFmtId="0" fontId="15" fillId="0" borderId="0" xfId="0" applyFont="1" applyFill="1"/>
    <xf numFmtId="49" fontId="7" fillId="0" borderId="2" xfId="0" applyNumberFormat="1" applyFont="1" applyFill="1" applyBorder="1" applyAlignment="1">
      <alignment horizontal="left" vertical="top" wrapText="1"/>
    </xf>
    <xf numFmtId="49" fontId="13" fillId="4" borderId="3" xfId="0" applyNumberFormat="1" applyFont="1" applyFill="1" applyBorder="1" applyAlignment="1">
      <alignment vertical="top" wrapText="1"/>
    </xf>
    <xf numFmtId="0" fontId="12" fillId="4" borderId="0" xfId="0" applyFont="1" applyFill="1"/>
    <xf numFmtId="0" fontId="1" fillId="0" borderId="0" xfId="0" applyFont="1" applyAlignment="1">
      <alignment horizontal="center" vertical="center"/>
    </xf>
    <xf numFmtId="0" fontId="4" fillId="0" borderId="0" xfId="0" applyFont="1" applyAlignment="1">
      <alignment horizontal="center" vertical="center"/>
    </xf>
    <xf numFmtId="0" fontId="12" fillId="0" borderId="0" xfId="0" applyFont="1" applyFill="1" applyAlignment="1">
      <alignment wrapText="1"/>
    </xf>
    <xf numFmtId="165" fontId="10" fillId="0" borderId="2" xfId="0" applyNumberFormat="1" applyFont="1" applyBorder="1" applyAlignment="1">
      <alignment horizontal="right" vertical="top" wrapText="1"/>
    </xf>
    <xf numFmtId="165" fontId="10" fillId="0" borderId="2" xfId="0" applyNumberFormat="1" applyFont="1" applyFill="1" applyBorder="1" applyAlignment="1">
      <alignment horizontal="right" vertical="top" wrapText="1"/>
    </xf>
    <xf numFmtId="165" fontId="13" fillId="4" borderId="3" xfId="0" applyNumberFormat="1" applyFont="1" applyFill="1" applyBorder="1" applyAlignment="1">
      <alignment horizontal="right" vertical="top" wrapText="1"/>
    </xf>
    <xf numFmtId="165" fontId="13" fillId="0" borderId="3" xfId="0" applyNumberFormat="1" applyFont="1" applyFill="1" applyBorder="1" applyAlignment="1">
      <alignment horizontal="right" vertical="top" wrapText="1"/>
    </xf>
    <xf numFmtId="165" fontId="13" fillId="0" borderId="3" xfId="0" applyNumberFormat="1" applyFont="1" applyBorder="1" applyAlignment="1">
      <alignment horizontal="right" vertical="top" wrapText="1"/>
    </xf>
    <xf numFmtId="165" fontId="13" fillId="0" borderId="2" xfId="0" applyNumberFormat="1" applyFont="1" applyFill="1" applyBorder="1" applyAlignment="1">
      <alignment horizontal="right" vertical="top" wrapText="1"/>
    </xf>
    <xf numFmtId="165" fontId="13" fillId="0" borderId="2" xfId="0" applyNumberFormat="1" applyFont="1" applyBorder="1" applyAlignment="1">
      <alignment horizontal="right" vertical="top" wrapText="1"/>
    </xf>
    <xf numFmtId="165" fontId="7" fillId="0" borderId="2" xfId="0" applyNumberFormat="1" applyFont="1" applyFill="1" applyBorder="1" applyAlignment="1">
      <alignment horizontal="right" vertical="top" wrapText="1"/>
    </xf>
    <xf numFmtId="0" fontId="7" fillId="0" borderId="3" xfId="0" applyNumberFormat="1" applyFont="1" applyFill="1" applyBorder="1" applyAlignment="1">
      <alignment horizontal="left" vertical="top" wrapText="1"/>
    </xf>
    <xf numFmtId="165" fontId="12" fillId="0" borderId="0" xfId="0" applyNumberFormat="1" applyFont="1" applyFill="1"/>
    <xf numFmtId="0" fontId="10" fillId="2" borderId="7" xfId="0" applyFont="1" applyFill="1" applyBorder="1" applyAlignment="1">
      <alignment horizontal="center" vertical="center" wrapText="1"/>
    </xf>
    <xf numFmtId="165" fontId="10" fillId="2" borderId="2" xfId="0" applyNumberFormat="1" applyFont="1" applyFill="1" applyBorder="1" applyAlignment="1">
      <alignment horizontal="right" vertical="center" wrapText="1"/>
    </xf>
    <xf numFmtId="0" fontId="10" fillId="0" borderId="0" xfId="0" applyFont="1" applyFill="1" applyBorder="1" applyAlignment="1">
      <alignment vertical="center" wrapText="1" shrinkToFit="1"/>
    </xf>
    <xf numFmtId="0" fontId="10" fillId="0"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Alignment="1">
      <alignment vertical="center"/>
    </xf>
    <xf numFmtId="165" fontId="10" fillId="0" borderId="0" xfId="0" applyNumberFormat="1" applyFont="1" applyFill="1" applyBorder="1" applyAlignment="1">
      <alignment vertical="center" wrapText="1" shrinkToFit="1"/>
    </xf>
    <xf numFmtId="0" fontId="10" fillId="5" borderId="7" xfId="0" applyFont="1" applyFill="1" applyBorder="1" applyAlignment="1">
      <alignment horizontal="center" vertical="top" wrapText="1"/>
    </xf>
    <xf numFmtId="165" fontId="18" fillId="5" borderId="2" xfId="0" applyNumberFormat="1" applyFont="1" applyFill="1" applyBorder="1" applyAlignment="1">
      <alignment horizontal="right" vertical="center" wrapText="1"/>
    </xf>
    <xf numFmtId="165" fontId="6" fillId="0" borderId="0" xfId="0" applyNumberFormat="1" applyFont="1" applyFill="1"/>
    <xf numFmtId="0" fontId="6" fillId="0" borderId="0" xfId="0" applyFont="1" applyFill="1"/>
    <xf numFmtId="0" fontId="10" fillId="0" borderId="0" xfId="0" applyFont="1" applyFill="1"/>
    <xf numFmtId="0" fontId="20" fillId="0" borderId="0" xfId="0" applyFont="1"/>
    <xf numFmtId="0" fontId="20" fillId="0" borderId="0" xfId="0" applyFont="1" applyFill="1"/>
    <xf numFmtId="0" fontId="13" fillId="0" borderId="0" xfId="0" applyFont="1"/>
    <xf numFmtId="0" fontId="6" fillId="5" borderId="0" xfId="0" applyFont="1" applyFill="1"/>
    <xf numFmtId="0" fontId="18" fillId="5" borderId="0" xfId="0" applyFont="1" applyFill="1"/>
    <xf numFmtId="0" fontId="6" fillId="2" borderId="0" xfId="0" applyFont="1" applyFill="1"/>
    <xf numFmtId="0" fontId="21" fillId="2" borderId="0" xfId="0" applyFont="1" applyFill="1"/>
    <xf numFmtId="49" fontId="10" fillId="0" borderId="2" xfId="0" applyNumberFormat="1" applyFont="1" applyFill="1" applyBorder="1" applyAlignment="1">
      <alignment horizontal="center" vertical="top" wrapText="1"/>
    </xf>
    <xf numFmtId="49" fontId="10" fillId="0" borderId="2" xfId="0" applyNumberFormat="1" applyFont="1" applyFill="1" applyBorder="1" applyAlignment="1">
      <alignment horizontal="left" vertical="top" wrapText="1"/>
    </xf>
    <xf numFmtId="49" fontId="18" fillId="0" borderId="2" xfId="0" applyNumberFormat="1" applyFont="1" applyFill="1" applyBorder="1" applyAlignment="1">
      <alignment horizontal="center" vertical="top"/>
    </xf>
    <xf numFmtId="49" fontId="18" fillId="0" borderId="2" xfId="0" applyNumberFormat="1" applyFont="1" applyFill="1" applyBorder="1" applyAlignment="1">
      <alignment horizontal="center" vertical="top" wrapText="1"/>
    </xf>
    <xf numFmtId="165" fontId="18" fillId="0" borderId="2" xfId="0" applyNumberFormat="1" applyFont="1" applyFill="1" applyBorder="1" applyAlignment="1">
      <alignment horizontal="center" vertical="top" wrapText="1"/>
    </xf>
    <xf numFmtId="165" fontId="6" fillId="0" borderId="0" xfId="0" applyNumberFormat="1" applyFont="1"/>
    <xf numFmtId="0" fontId="6" fillId="0" borderId="0" xfId="0" applyFont="1"/>
    <xf numFmtId="0" fontId="21" fillId="0" borderId="0" xfId="0" applyFont="1"/>
    <xf numFmtId="0" fontId="1" fillId="0" borderId="3" xfId="0" applyNumberFormat="1" applyFont="1" applyFill="1" applyBorder="1" applyAlignment="1">
      <alignment horizontal="left" vertical="top" wrapText="1"/>
    </xf>
    <xf numFmtId="49" fontId="1" fillId="0" borderId="3" xfId="0" applyNumberFormat="1" applyFont="1" applyFill="1" applyBorder="1" applyAlignment="1">
      <alignment vertical="top" wrapText="1"/>
    </xf>
    <xf numFmtId="49" fontId="16" fillId="0" borderId="2" xfId="0" applyNumberFormat="1" applyFont="1" applyFill="1" applyBorder="1" applyAlignment="1">
      <alignment horizontal="center" vertical="top"/>
    </xf>
    <xf numFmtId="165" fontId="16" fillId="0" borderId="2" xfId="0" applyNumberFormat="1" applyFont="1" applyFill="1" applyBorder="1" applyAlignment="1">
      <alignment horizontal="center" vertical="top" wrapText="1"/>
    </xf>
    <xf numFmtId="0" fontId="21" fillId="0" borderId="0" xfId="0" applyFont="1" applyFill="1"/>
    <xf numFmtId="49" fontId="1" fillId="0" borderId="2" xfId="0" applyNumberFormat="1" applyFont="1" applyFill="1" applyBorder="1" applyAlignment="1">
      <alignment vertical="top" wrapText="1"/>
    </xf>
    <xf numFmtId="49" fontId="1" fillId="0" borderId="2" xfId="0" applyNumberFormat="1" applyFont="1" applyFill="1" applyBorder="1" applyAlignment="1">
      <alignment vertical="top"/>
    </xf>
    <xf numFmtId="49" fontId="1" fillId="0" borderId="2" xfId="0" applyNumberFormat="1" applyFont="1" applyFill="1" applyBorder="1" applyAlignment="1">
      <alignment horizontal="left" vertical="top" wrapText="1"/>
    </xf>
    <xf numFmtId="49" fontId="1" fillId="0" borderId="5" xfId="0" applyNumberFormat="1" applyFont="1" applyFill="1" applyBorder="1" applyAlignment="1">
      <alignment vertical="top" wrapText="1"/>
    </xf>
    <xf numFmtId="0" fontId="1" fillId="0" borderId="2" xfId="0" applyNumberFormat="1" applyFont="1" applyFill="1" applyBorder="1" applyAlignment="1">
      <alignment vertical="top" wrapText="1"/>
    </xf>
    <xf numFmtId="49" fontId="1" fillId="0" borderId="3" xfId="0" applyNumberFormat="1" applyFont="1" applyFill="1" applyBorder="1" applyAlignment="1">
      <alignment horizontal="center" vertical="top"/>
    </xf>
    <xf numFmtId="49" fontId="1" fillId="0" borderId="2" xfId="0" applyNumberFormat="1" applyFont="1" applyFill="1" applyBorder="1" applyAlignment="1">
      <alignment vertical="center"/>
    </xf>
    <xf numFmtId="49" fontId="1" fillId="0" borderId="2" xfId="0" applyNumberFormat="1" applyFont="1" applyFill="1" applyBorder="1"/>
    <xf numFmtId="49" fontId="22" fillId="0" borderId="2" xfId="0" applyNumberFormat="1" applyFont="1" applyFill="1" applyBorder="1" applyAlignment="1">
      <alignment horizontal="center" wrapText="1"/>
    </xf>
    <xf numFmtId="0" fontId="1" fillId="0" borderId="0" xfId="0" applyFont="1" applyFill="1" applyAlignment="1">
      <alignment vertical="top"/>
    </xf>
    <xf numFmtId="0" fontId="23" fillId="0" borderId="2" xfId="2" applyNumberFormat="1" applyFont="1" applyFill="1" applyBorder="1" applyAlignment="1">
      <alignment horizontal="left" vertical="top" wrapText="1"/>
    </xf>
    <xf numFmtId="49" fontId="24" fillId="0" borderId="2" xfId="0" applyNumberFormat="1" applyFont="1" applyFill="1" applyBorder="1" applyAlignment="1">
      <alignment horizontal="center" vertical="center" wrapText="1"/>
    </xf>
    <xf numFmtId="166" fontId="16" fillId="0" borderId="2" xfId="0" applyNumberFormat="1" applyFont="1" applyFill="1" applyBorder="1" applyAlignment="1">
      <alignment horizontal="center" vertical="top" wrapText="1"/>
    </xf>
    <xf numFmtId="0" fontId="21" fillId="0" borderId="2" xfId="3" applyNumberFormat="1" applyFont="1" applyFill="1" applyBorder="1" applyAlignment="1" applyProtection="1">
      <alignment horizontal="left" vertical="top" wrapText="1"/>
      <protection hidden="1"/>
    </xf>
    <xf numFmtId="49" fontId="1" fillId="0" borderId="2" xfId="0" applyNumberFormat="1" applyFont="1" applyFill="1" applyBorder="1" applyAlignment="1">
      <alignment horizontal="center" vertical="top"/>
    </xf>
    <xf numFmtId="166" fontId="26" fillId="0" borderId="0" xfId="0" applyNumberFormat="1" applyFont="1" applyBorder="1" applyAlignment="1">
      <alignment horizontal="right" vertical="top" wrapText="1"/>
    </xf>
    <xf numFmtId="166" fontId="6" fillId="0" borderId="0" xfId="0" applyNumberFormat="1" applyFont="1" applyFill="1"/>
    <xf numFmtId="2" fontId="26" fillId="0" borderId="0" xfId="0" applyNumberFormat="1" applyFont="1" applyBorder="1" applyAlignment="1">
      <alignment horizontal="right" vertical="top" wrapText="1"/>
    </xf>
    <xf numFmtId="49" fontId="1" fillId="0" borderId="2" xfId="0" applyNumberFormat="1" applyFont="1" applyFill="1" applyBorder="1" applyAlignment="1">
      <alignment vertical="justify"/>
    </xf>
    <xf numFmtId="49" fontId="1" fillId="0" borderId="2" xfId="0" applyNumberFormat="1" applyFont="1" applyFill="1" applyBorder="1" applyAlignment="1">
      <alignment horizontal="center" vertical="top" wrapText="1"/>
    </xf>
    <xf numFmtId="49" fontId="6" fillId="0" borderId="0" xfId="0" applyNumberFormat="1" applyFont="1" applyFill="1"/>
    <xf numFmtId="4" fontId="6" fillId="0" borderId="0" xfId="0" applyNumberFormat="1" applyFont="1" applyFill="1"/>
    <xf numFmtId="165" fontId="16" fillId="0" borderId="2" xfId="0" applyNumberFormat="1" applyFont="1" applyFill="1" applyBorder="1" applyAlignment="1">
      <alignment horizontal="center" vertical="top"/>
    </xf>
    <xf numFmtId="166" fontId="16" fillId="0" borderId="2" xfId="0" applyNumberFormat="1" applyFont="1" applyFill="1" applyBorder="1" applyAlignment="1">
      <alignment horizontal="center" vertical="top"/>
    </xf>
    <xf numFmtId="165" fontId="26" fillId="2" borderId="0" xfId="0" applyNumberFormat="1" applyFont="1" applyFill="1"/>
    <xf numFmtId="0" fontId="26" fillId="2" borderId="0" xfId="0" applyFont="1" applyFill="1"/>
    <xf numFmtId="0" fontId="1" fillId="2" borderId="0" xfId="0" applyFont="1" applyFill="1"/>
    <xf numFmtId="49" fontId="21" fillId="0" borderId="3" xfId="0" applyNumberFormat="1" applyFont="1" applyFill="1" applyBorder="1" applyAlignment="1">
      <alignment vertical="top" wrapText="1"/>
    </xf>
    <xf numFmtId="49" fontId="27" fillId="0" borderId="2" xfId="0" applyNumberFormat="1" applyFont="1" applyFill="1" applyBorder="1" applyAlignment="1">
      <alignment horizontal="center" vertical="top" wrapText="1"/>
    </xf>
    <xf numFmtId="49" fontId="16" fillId="0" borderId="2" xfId="0" applyNumberFormat="1" applyFont="1" applyFill="1" applyBorder="1" applyAlignment="1">
      <alignment horizontal="center" vertical="top" wrapText="1"/>
    </xf>
    <xf numFmtId="165" fontId="26" fillId="0" borderId="0" xfId="0" applyNumberFormat="1" applyFont="1"/>
    <xf numFmtId="0" fontId="26" fillId="0" borderId="0" xfId="0" applyFont="1"/>
    <xf numFmtId="0" fontId="1" fillId="0" borderId="0" xfId="0" applyFont="1"/>
    <xf numFmtId="0" fontId="1" fillId="0" borderId="2" xfId="0" applyNumberFormat="1" applyFont="1" applyFill="1" applyBorder="1" applyAlignment="1">
      <alignment vertical="center" wrapText="1"/>
    </xf>
    <xf numFmtId="49" fontId="1" fillId="0" borderId="3" xfId="0" applyNumberFormat="1" applyFont="1" applyFill="1" applyBorder="1" applyAlignment="1">
      <alignment wrapText="1"/>
    </xf>
    <xf numFmtId="49" fontId="21" fillId="0" borderId="2" xfId="0" applyNumberFormat="1" applyFont="1" applyFill="1" applyBorder="1" applyAlignment="1">
      <alignment vertical="top" wrapText="1"/>
    </xf>
    <xf numFmtId="165" fontId="27" fillId="0" borderId="2" xfId="0" applyNumberFormat="1" applyFont="1" applyFill="1" applyBorder="1" applyAlignment="1">
      <alignment horizontal="center" vertical="top" wrapText="1"/>
    </xf>
    <xf numFmtId="49" fontId="1" fillId="0" borderId="2" xfId="0" applyNumberFormat="1" applyFont="1" applyFill="1" applyBorder="1" applyAlignment="1">
      <alignment wrapText="1"/>
    </xf>
    <xf numFmtId="0" fontId="17" fillId="0" borderId="0" xfId="0" applyFont="1"/>
    <xf numFmtId="49" fontId="21" fillId="0" borderId="5" xfId="0" applyNumberFormat="1" applyFont="1" applyFill="1" applyBorder="1" applyAlignment="1">
      <alignment vertical="top" wrapText="1"/>
    </xf>
    <xf numFmtId="49" fontId="21" fillId="0" borderId="2" xfId="0" applyNumberFormat="1" applyFont="1" applyFill="1" applyBorder="1" applyAlignment="1">
      <alignment wrapText="1"/>
    </xf>
    <xf numFmtId="166" fontId="27" fillId="0" borderId="2" xfId="0" applyNumberFormat="1" applyFont="1" applyFill="1" applyBorder="1" applyAlignment="1">
      <alignment horizontal="center" vertical="top" wrapText="1"/>
    </xf>
    <xf numFmtId="49" fontId="21" fillId="0" borderId="2" xfId="0" applyNumberFormat="1" applyFont="1" applyFill="1" applyBorder="1" applyAlignment="1">
      <alignment horizontal="left" wrapText="1"/>
    </xf>
    <xf numFmtId="49" fontId="1" fillId="0" borderId="3" xfId="0" applyNumberFormat="1" applyFont="1" applyFill="1" applyBorder="1" applyAlignment="1">
      <alignment horizontal="left" wrapText="1"/>
    </xf>
    <xf numFmtId="49" fontId="28" fillId="0" borderId="3" xfId="0" applyNumberFormat="1" applyFont="1" applyFill="1" applyBorder="1" applyAlignment="1">
      <alignment wrapText="1"/>
    </xf>
    <xf numFmtId="0" fontId="21" fillId="0" borderId="2" xfId="0" applyNumberFormat="1" applyFont="1" applyFill="1" applyBorder="1" applyAlignment="1">
      <alignment horizontal="left" vertical="top" wrapText="1"/>
    </xf>
    <xf numFmtId="0" fontId="21" fillId="0" borderId="4" xfId="0" applyFont="1" applyBorder="1" applyAlignment="1">
      <alignment horizontal="center" vertical="top" wrapText="1"/>
    </xf>
    <xf numFmtId="166" fontId="6" fillId="0" borderId="0" xfId="0" applyNumberFormat="1" applyFont="1"/>
    <xf numFmtId="166" fontId="18" fillId="0" borderId="2" xfId="0" applyNumberFormat="1" applyFont="1" applyFill="1" applyBorder="1" applyAlignment="1">
      <alignment horizontal="center" vertical="top" wrapText="1"/>
    </xf>
    <xf numFmtId="0" fontId="26" fillId="0" borderId="0" xfId="0" applyFont="1" applyAlignment="1">
      <alignment vertical="center"/>
    </xf>
    <xf numFmtId="0" fontId="21" fillId="0" borderId="3" xfId="0" applyFont="1" applyFill="1" applyBorder="1" applyAlignment="1">
      <alignment horizontal="center" vertical="top" wrapText="1"/>
    </xf>
    <xf numFmtId="0" fontId="29" fillId="0" borderId="4" xfId="0" applyFont="1" applyFill="1" applyBorder="1" applyAlignment="1">
      <alignment horizontal="center" wrapText="1"/>
    </xf>
    <xf numFmtId="49" fontId="1" fillId="0" borderId="5" xfId="0" applyNumberFormat="1" applyFont="1" applyFill="1" applyBorder="1" applyAlignment="1">
      <alignment horizontal="left" vertical="top" wrapText="1"/>
    </xf>
    <xf numFmtId="0" fontId="30" fillId="0" borderId="0" xfId="0" applyFont="1"/>
    <xf numFmtId="0" fontId="31" fillId="0" borderId="0" xfId="0" applyFont="1"/>
    <xf numFmtId="0" fontId="28" fillId="2" borderId="0" xfId="0" applyFont="1" applyFill="1"/>
    <xf numFmtId="3" fontId="21" fillId="0" borderId="2" xfId="0" applyNumberFormat="1" applyFont="1" applyFill="1" applyBorder="1" applyAlignment="1">
      <alignment horizontal="left" vertical="top" wrapText="1"/>
    </xf>
    <xf numFmtId="0" fontId="1" fillId="0" borderId="2" xfId="3" applyNumberFormat="1" applyFont="1" applyFill="1" applyBorder="1" applyAlignment="1" applyProtection="1">
      <alignment horizontal="left" vertical="top" wrapText="1"/>
      <protection hidden="1"/>
    </xf>
    <xf numFmtId="3" fontId="21" fillId="0" borderId="3" xfId="0" applyNumberFormat="1" applyFont="1" applyFill="1" applyBorder="1" applyAlignment="1">
      <alignment horizontal="left" vertical="top" wrapText="1"/>
    </xf>
    <xf numFmtId="0" fontId="22" fillId="0" borderId="2" xfId="3" applyNumberFormat="1" applyFont="1" applyFill="1" applyBorder="1" applyAlignment="1" applyProtection="1">
      <alignment vertical="top" wrapText="1"/>
      <protection hidden="1"/>
    </xf>
    <xf numFmtId="165" fontId="26" fillId="0" borderId="0" xfId="0" applyNumberFormat="1" applyFont="1" applyAlignment="1">
      <alignment vertical="top"/>
    </xf>
    <xf numFmtId="0" fontId="26" fillId="0" borderId="0" xfId="0" applyFont="1" applyAlignment="1">
      <alignment vertical="top"/>
    </xf>
    <xf numFmtId="49" fontId="21" fillId="0" borderId="2" xfId="0" applyNumberFormat="1" applyFont="1" applyFill="1" applyBorder="1" applyAlignment="1">
      <alignment horizontal="left" vertical="top" wrapText="1"/>
    </xf>
    <xf numFmtId="0" fontId="21" fillId="0" borderId="4" xfId="0" applyNumberFormat="1" applyFont="1" applyFill="1" applyBorder="1" applyAlignment="1">
      <alignment horizontal="left" vertical="top" wrapText="1"/>
    </xf>
    <xf numFmtId="166" fontId="30" fillId="0" borderId="0" xfId="0" applyNumberFormat="1" applyFont="1"/>
    <xf numFmtId="0" fontId="1" fillId="0" borderId="3" xfId="0" applyNumberFormat="1" applyFont="1" applyFill="1" applyBorder="1" applyAlignment="1">
      <alignment vertical="top" wrapText="1"/>
    </xf>
    <xf numFmtId="0" fontId="22" fillId="0" borderId="5" xfId="3" applyNumberFormat="1" applyFont="1" applyFill="1" applyBorder="1" applyAlignment="1" applyProtection="1">
      <alignment horizontal="center" vertical="top" wrapText="1"/>
      <protection hidden="1"/>
    </xf>
    <xf numFmtId="0" fontId="1" fillId="0" borderId="5" xfId="3" applyNumberFormat="1" applyFont="1" applyFill="1" applyBorder="1" applyAlignment="1" applyProtection="1">
      <alignment horizontal="left" vertical="top" wrapText="1"/>
      <protection hidden="1"/>
    </xf>
    <xf numFmtId="49" fontId="1" fillId="0" borderId="2" xfId="0" applyNumberFormat="1" applyFont="1" applyFill="1" applyBorder="1" applyAlignment="1">
      <alignment horizontal="left" vertical="center" wrapText="1"/>
    </xf>
    <xf numFmtId="0" fontId="26" fillId="4" borderId="0" xfId="0" applyFont="1" applyFill="1" applyAlignment="1">
      <alignment vertical="center"/>
    </xf>
    <xf numFmtId="0" fontId="26" fillId="4" borderId="0" xfId="0" applyFont="1" applyFill="1"/>
    <xf numFmtId="0" fontId="1" fillId="4" borderId="0" xfId="0" applyFont="1" applyFill="1"/>
    <xf numFmtId="0" fontId="26" fillId="3" borderId="0" xfId="0" applyFont="1" applyFill="1" applyAlignment="1">
      <alignment vertical="top"/>
    </xf>
    <xf numFmtId="165" fontId="26" fillId="4" borderId="0" xfId="0" applyNumberFormat="1" applyFont="1" applyFill="1"/>
    <xf numFmtId="0" fontId="1" fillId="0" borderId="5" xfId="3" applyNumberFormat="1" applyFont="1" applyFill="1" applyBorder="1" applyAlignment="1" applyProtection="1">
      <alignment horizontal="center" vertical="top" wrapText="1"/>
      <protection hidden="1"/>
    </xf>
    <xf numFmtId="49" fontId="16" fillId="0" borderId="5" xfId="0" applyNumberFormat="1" applyFont="1" applyFill="1" applyBorder="1" applyAlignment="1">
      <alignment horizontal="center" vertical="top" wrapText="1"/>
    </xf>
    <xf numFmtId="49" fontId="7" fillId="0" borderId="5" xfId="0" applyNumberFormat="1" applyFont="1" applyFill="1" applyBorder="1" applyAlignment="1">
      <alignment vertical="top" wrapText="1"/>
    </xf>
    <xf numFmtId="0" fontId="1" fillId="0" borderId="2" xfId="0" applyNumberFormat="1" applyFont="1" applyFill="1" applyBorder="1" applyAlignment="1">
      <alignment vertical="justify"/>
    </xf>
    <xf numFmtId="49" fontId="22" fillId="0" borderId="2" xfId="0" applyNumberFormat="1" applyFont="1" applyFill="1" applyBorder="1" applyAlignment="1">
      <alignment horizontal="left" vertical="top" wrapText="1"/>
    </xf>
    <xf numFmtId="0" fontId="1" fillId="0" borderId="2" xfId="0" applyNumberFormat="1" applyFont="1" applyFill="1" applyBorder="1" applyAlignment="1">
      <alignment horizontal="left" vertical="top" wrapText="1"/>
    </xf>
    <xf numFmtId="0" fontId="6" fillId="0" borderId="0" xfId="0" applyFont="1" applyAlignment="1">
      <alignment vertical="center"/>
    </xf>
    <xf numFmtId="0" fontId="1" fillId="0" borderId="2" xfId="0" applyNumberFormat="1" applyFont="1" applyFill="1" applyBorder="1" applyAlignment="1">
      <alignment vertical="justify" wrapText="1"/>
    </xf>
    <xf numFmtId="165" fontId="33" fillId="0" borderId="0" xfId="0" applyNumberFormat="1" applyFont="1" applyFill="1"/>
    <xf numFmtId="0" fontId="34" fillId="3" borderId="0" xfId="0" applyFont="1" applyFill="1"/>
    <xf numFmtId="0" fontId="34" fillId="0" borderId="0" xfId="0" applyFont="1" applyFill="1"/>
    <xf numFmtId="167" fontId="1" fillId="0" borderId="2" xfId="0" applyNumberFormat="1" applyFont="1" applyFill="1" applyBorder="1" applyAlignment="1">
      <alignment vertical="top" wrapText="1"/>
    </xf>
    <xf numFmtId="49" fontId="16" fillId="0" borderId="2" xfId="0" applyNumberFormat="1" applyFont="1" applyFill="1" applyBorder="1" applyAlignment="1">
      <alignment vertical="top"/>
    </xf>
    <xf numFmtId="165" fontId="16" fillId="0" borderId="2" xfId="0" applyNumberFormat="1" applyFont="1" applyFill="1" applyBorder="1" applyAlignment="1">
      <alignment vertical="top"/>
    </xf>
    <xf numFmtId="0" fontId="33" fillId="0" borderId="11" xfId="0" applyFont="1" applyFill="1" applyBorder="1" applyAlignment="1">
      <alignment vertical="top"/>
    </xf>
    <xf numFmtId="0" fontId="33" fillId="0" borderId="0" xfId="0" applyFont="1" applyFill="1"/>
    <xf numFmtId="49" fontId="16" fillId="0" borderId="2" xfId="0" applyNumberFormat="1" applyFont="1" applyFill="1" applyBorder="1"/>
    <xf numFmtId="165" fontId="16" fillId="0" borderId="2" xfId="0" applyNumberFormat="1" applyFont="1" applyFill="1" applyBorder="1" applyAlignment="1"/>
    <xf numFmtId="0" fontId="21" fillId="0" borderId="5" xfId="0" applyFont="1" applyFill="1" applyBorder="1" applyAlignment="1">
      <alignment horizontal="center" vertical="top" wrapText="1"/>
    </xf>
    <xf numFmtId="49" fontId="22" fillId="0" borderId="2" xfId="0" applyNumberFormat="1" applyFont="1" applyFill="1" applyBorder="1" applyAlignment="1">
      <alignment wrapText="1"/>
    </xf>
    <xf numFmtId="0" fontId="33" fillId="0" borderId="0" xfId="0" applyFont="1" applyFill="1" applyBorder="1" applyAlignment="1">
      <alignment vertical="top"/>
    </xf>
    <xf numFmtId="165" fontId="33" fillId="0" borderId="0" xfId="0" applyNumberFormat="1" applyFont="1" applyFill="1" applyAlignment="1">
      <alignment vertical="top"/>
    </xf>
    <xf numFmtId="0" fontId="21" fillId="0" borderId="2" xfId="0" applyNumberFormat="1" applyFont="1" applyFill="1" applyBorder="1" applyAlignment="1">
      <alignment vertical="top" wrapText="1"/>
    </xf>
    <xf numFmtId="49" fontId="18" fillId="0" borderId="2" xfId="0" applyNumberFormat="1" applyFont="1" applyFill="1" applyBorder="1" applyAlignment="1">
      <alignment vertical="top"/>
    </xf>
    <xf numFmtId="165" fontId="18" fillId="0" borderId="2" xfId="0" applyNumberFormat="1" applyFont="1" applyFill="1" applyBorder="1" applyAlignment="1">
      <alignment vertical="top"/>
    </xf>
    <xf numFmtId="0" fontId="21" fillId="0" borderId="4" xfId="0" applyFont="1" applyFill="1" applyBorder="1" applyAlignment="1">
      <alignment horizontal="center" vertical="top" wrapText="1"/>
    </xf>
    <xf numFmtId="0" fontId="33" fillId="0" borderId="0" xfId="0" applyFont="1" applyFill="1" applyAlignment="1">
      <alignment vertical="center"/>
    </xf>
    <xf numFmtId="49" fontId="35" fillId="0" borderId="2" xfId="0" applyNumberFormat="1" applyFont="1" applyFill="1" applyBorder="1" applyAlignment="1">
      <alignment vertical="top"/>
    </xf>
    <xf numFmtId="4" fontId="33" fillId="0" borderId="0" xfId="0" applyNumberFormat="1" applyFont="1" applyFill="1"/>
    <xf numFmtId="0" fontId="1" fillId="0" borderId="5" xfId="3" applyNumberFormat="1" applyFont="1" applyFill="1" applyBorder="1" applyAlignment="1" applyProtection="1">
      <alignment vertical="top" wrapText="1"/>
      <protection hidden="1"/>
    </xf>
    <xf numFmtId="49" fontId="1" fillId="0" borderId="2" xfId="0" applyNumberFormat="1" applyFont="1" applyFill="1" applyBorder="1" applyAlignment="1">
      <alignment vertical="justify" wrapText="1"/>
    </xf>
    <xf numFmtId="166" fontId="16" fillId="0" borderId="2" xfId="0" applyNumberFormat="1" applyFont="1" applyFill="1" applyBorder="1" applyAlignment="1">
      <alignment horizontal="right" vertical="top" wrapText="1"/>
    </xf>
    <xf numFmtId="49" fontId="36" fillId="0" borderId="2" xfId="0" applyNumberFormat="1" applyFont="1" applyFill="1" applyBorder="1"/>
    <xf numFmtId="0" fontId="33" fillId="2" borderId="0" xfId="0" applyFont="1" applyFill="1"/>
    <xf numFmtId="0" fontId="34" fillId="2" borderId="0" xfId="0" applyFont="1" applyFill="1"/>
    <xf numFmtId="0" fontId="6" fillId="2" borderId="0" xfId="0" applyFont="1" applyFill="1" applyAlignment="1">
      <alignment horizontal="center"/>
    </xf>
    <xf numFmtId="0" fontId="18" fillId="2" borderId="0" xfId="0" applyFont="1" applyFill="1" applyAlignment="1">
      <alignment horizontal="center"/>
    </xf>
    <xf numFmtId="49" fontId="18" fillId="0" borderId="2" xfId="0" applyNumberFormat="1" applyFont="1" applyFill="1" applyBorder="1" applyAlignment="1">
      <alignment horizontal="left" vertical="top" wrapText="1"/>
    </xf>
    <xf numFmtId="49" fontId="16" fillId="0" borderId="2" xfId="0" applyNumberFormat="1" applyFont="1" applyFill="1" applyBorder="1" applyAlignment="1">
      <alignment horizontal="left" vertical="top" wrapText="1"/>
    </xf>
    <xf numFmtId="0" fontId="1" fillId="0" borderId="3" xfId="3" applyNumberFormat="1" applyFont="1" applyFill="1" applyBorder="1" applyAlignment="1" applyProtection="1">
      <alignment horizontal="left" vertical="top" wrapText="1"/>
      <protection hidden="1"/>
    </xf>
    <xf numFmtId="49" fontId="16" fillId="0" borderId="3" xfId="0" applyNumberFormat="1" applyFont="1" applyFill="1" applyBorder="1" applyAlignment="1">
      <alignment horizontal="left" vertical="top" wrapText="1"/>
    </xf>
    <xf numFmtId="0" fontId="7" fillId="0" borderId="2" xfId="3" applyNumberFormat="1" applyFont="1" applyFill="1" applyBorder="1" applyAlignment="1" applyProtection="1">
      <alignment horizontal="left" vertical="top" wrapText="1"/>
      <protection hidden="1"/>
    </xf>
    <xf numFmtId="0" fontId="16" fillId="0" borderId="2" xfId="3" applyNumberFormat="1" applyFont="1" applyFill="1" applyBorder="1" applyAlignment="1" applyProtection="1">
      <alignment horizontal="left" vertical="top" wrapText="1"/>
      <protection hidden="1"/>
    </xf>
    <xf numFmtId="49" fontId="16" fillId="0" borderId="2" xfId="3" applyNumberFormat="1" applyFont="1" applyFill="1" applyBorder="1" applyAlignment="1" applyProtection="1">
      <alignment horizontal="left" vertical="top" wrapText="1"/>
      <protection hidden="1"/>
    </xf>
    <xf numFmtId="4" fontId="16" fillId="0" borderId="2" xfId="3" applyNumberFormat="1" applyFont="1" applyFill="1" applyBorder="1" applyAlignment="1" applyProtection="1">
      <alignment horizontal="center" vertical="top" wrapText="1"/>
      <protection hidden="1"/>
    </xf>
    <xf numFmtId="0" fontId="2" fillId="0" borderId="0" xfId="0" applyFont="1" applyAlignment="1">
      <alignment horizontal="left"/>
    </xf>
    <xf numFmtId="0" fontId="18" fillId="0" borderId="0" xfId="0" applyFont="1"/>
    <xf numFmtId="0" fontId="1" fillId="0" borderId="7" xfId="0" applyNumberFormat="1" applyFont="1" applyFill="1" applyBorder="1" applyAlignment="1">
      <alignment vertical="top" wrapText="1"/>
    </xf>
    <xf numFmtId="0" fontId="6" fillId="4" borderId="0" xfId="0" applyFont="1" applyFill="1"/>
    <xf numFmtId="165" fontId="6" fillId="4" borderId="0" xfId="0" applyNumberFormat="1" applyFont="1" applyFill="1"/>
    <xf numFmtId="0" fontId="18" fillId="4" borderId="0" xfId="0" applyFont="1" applyFill="1"/>
    <xf numFmtId="49" fontId="16" fillId="0" borderId="7" xfId="0" applyNumberFormat="1" applyFont="1" applyFill="1" applyBorder="1" applyAlignment="1">
      <alignment horizontal="left" vertical="top" wrapText="1"/>
    </xf>
    <xf numFmtId="0" fontId="26" fillId="0" borderId="0" xfId="0" applyFont="1" applyFill="1"/>
    <xf numFmtId="0" fontId="16" fillId="0" borderId="0" xfId="0" applyFont="1" applyFill="1"/>
    <xf numFmtId="0" fontId="6" fillId="0" borderId="0" xfId="0" applyFont="1" applyFill="1" applyAlignment="1">
      <alignment vertical="center"/>
    </xf>
    <xf numFmtId="0" fontId="1" fillId="0" borderId="0" xfId="0" applyFont="1" applyFill="1"/>
    <xf numFmtId="49" fontId="1" fillId="0" borderId="2" xfId="0" applyNumberFormat="1" applyFont="1" applyFill="1" applyBorder="1" applyAlignment="1">
      <alignment horizontal="center" vertical="center" wrapText="1"/>
    </xf>
    <xf numFmtId="0" fontId="26" fillId="0" borderId="0" xfId="0" applyFont="1" applyFill="1" applyAlignment="1">
      <alignment vertical="center"/>
    </xf>
    <xf numFmtId="167" fontId="1" fillId="0" borderId="5" xfId="0" applyNumberFormat="1" applyFont="1" applyFill="1" applyBorder="1" applyAlignment="1">
      <alignment vertical="top" wrapText="1"/>
    </xf>
    <xf numFmtId="0" fontId="17" fillId="2" borderId="0" xfId="0" applyFont="1" applyFill="1"/>
    <xf numFmtId="49" fontId="1" fillId="0" borderId="2" xfId="0" applyNumberFormat="1" applyFont="1" applyFill="1" applyBorder="1" applyAlignment="1">
      <alignment horizontal="left" vertical="top"/>
    </xf>
    <xf numFmtId="0" fontId="6" fillId="6" borderId="0" xfId="0" applyFont="1" applyFill="1"/>
    <xf numFmtId="0" fontId="17" fillId="6" borderId="0" xfId="0" applyFont="1" applyFill="1"/>
    <xf numFmtId="0" fontId="26" fillId="2" borderId="0" xfId="0" applyFont="1" applyFill="1" applyAlignment="1">
      <alignment vertical="center"/>
    </xf>
    <xf numFmtId="166" fontId="26" fillId="0" borderId="0" xfId="0" applyNumberFormat="1" applyFont="1"/>
    <xf numFmtId="49" fontId="21" fillId="0" borderId="5" xfId="0" applyNumberFormat="1" applyFont="1" applyFill="1" applyBorder="1" applyAlignment="1">
      <alignment horizontal="center" vertical="top" wrapText="1"/>
    </xf>
    <xf numFmtId="0" fontId="21" fillId="0" borderId="3" xfId="0" applyNumberFormat="1" applyFont="1" applyFill="1" applyBorder="1" applyAlignment="1">
      <alignment vertical="top" wrapText="1"/>
    </xf>
    <xf numFmtId="49" fontId="21" fillId="0" borderId="5" xfId="0" applyNumberFormat="1" applyFont="1" applyFill="1" applyBorder="1" applyAlignment="1">
      <alignment horizontal="left" vertical="top" wrapText="1"/>
    </xf>
    <xf numFmtId="49" fontId="1" fillId="0" borderId="5" xfId="0" applyNumberFormat="1" applyFont="1" applyFill="1" applyBorder="1" applyAlignment="1">
      <alignment horizontal="center" vertical="top" wrapText="1"/>
    </xf>
    <xf numFmtId="0" fontId="1" fillId="0" borderId="5" xfId="0" applyNumberFormat="1" applyFont="1" applyFill="1" applyBorder="1" applyAlignment="1">
      <alignment horizontal="left" vertical="top" wrapText="1"/>
    </xf>
    <xf numFmtId="165" fontId="16" fillId="0" borderId="2" xfId="0" applyNumberFormat="1" applyFont="1" applyFill="1" applyBorder="1" applyAlignment="1">
      <alignment vertical="top" wrapText="1"/>
    </xf>
    <xf numFmtId="167" fontId="21" fillId="0" borderId="2" xfId="0" applyNumberFormat="1" applyFont="1" applyFill="1" applyBorder="1" applyAlignment="1">
      <alignment horizontal="left" vertical="top" wrapText="1"/>
    </xf>
    <xf numFmtId="49" fontId="21" fillId="0" borderId="2" xfId="0" applyNumberFormat="1" applyFont="1" applyFill="1" applyBorder="1" applyAlignment="1">
      <alignment horizontal="center" vertical="top" wrapText="1"/>
    </xf>
    <xf numFmtId="165" fontId="18" fillId="0" borderId="2" xfId="0" applyNumberFormat="1" applyFont="1" applyFill="1" applyBorder="1" applyAlignment="1">
      <alignment horizontal="right" vertical="top"/>
    </xf>
    <xf numFmtId="167" fontId="21" fillId="0" borderId="3" xfId="0" applyNumberFormat="1" applyFont="1" applyFill="1" applyBorder="1" applyAlignment="1">
      <alignment horizontal="left" vertical="top" wrapText="1"/>
    </xf>
    <xf numFmtId="49" fontId="21" fillId="0" borderId="3" xfId="0" applyNumberFormat="1" applyFont="1" applyFill="1" applyBorder="1" applyAlignment="1">
      <alignment horizontal="center" vertical="top" wrapText="1"/>
    </xf>
    <xf numFmtId="165" fontId="18" fillId="0" borderId="2" xfId="0" applyNumberFormat="1" applyFont="1" applyFill="1" applyBorder="1" applyAlignment="1">
      <alignment vertical="top" wrapText="1"/>
    </xf>
    <xf numFmtId="49" fontId="18" fillId="0" borderId="2" xfId="0" applyNumberFormat="1" applyFont="1" applyFill="1" applyBorder="1"/>
    <xf numFmtId="166" fontId="18" fillId="0" borderId="2" xfId="0" applyNumberFormat="1" applyFont="1" applyFill="1" applyBorder="1" applyAlignment="1">
      <alignment horizontal="right"/>
    </xf>
    <xf numFmtId="166" fontId="18" fillId="0" borderId="2" xfId="0" applyNumberFormat="1" applyFont="1" applyFill="1" applyBorder="1" applyAlignment="1">
      <alignment horizontal="center"/>
    </xf>
    <xf numFmtId="165" fontId="18" fillId="0" borderId="2" xfId="0" applyNumberFormat="1" applyFont="1" applyFill="1" applyBorder="1" applyAlignment="1">
      <alignment horizontal="right"/>
    </xf>
    <xf numFmtId="0" fontId="18" fillId="2" borderId="2" xfId="0" applyFont="1" applyFill="1" applyBorder="1" applyAlignment="1">
      <alignment wrapText="1"/>
    </xf>
    <xf numFmtId="0" fontId="17" fillId="5" borderId="2" xfId="0" applyFont="1" applyFill="1" applyBorder="1" applyAlignment="1">
      <alignment wrapText="1"/>
    </xf>
    <xf numFmtId="0" fontId="17" fillId="0" borderId="2" xfId="0" applyFont="1" applyFill="1" applyBorder="1" applyAlignment="1">
      <alignment horizontal="center" vertical="top" wrapText="1"/>
    </xf>
    <xf numFmtId="0" fontId="10" fillId="0" borderId="2" xfId="0" applyFont="1" applyFill="1" applyBorder="1" applyAlignment="1">
      <alignment horizontal="center" vertical="top" wrapText="1"/>
    </xf>
    <xf numFmtId="0" fontId="18" fillId="0" borderId="3" xfId="0" applyFont="1" applyFill="1" applyBorder="1" applyAlignment="1">
      <alignment horizontal="center" vertical="top" wrapText="1"/>
    </xf>
    <xf numFmtId="49" fontId="18" fillId="0" borderId="2" xfId="0" applyNumberFormat="1" applyFont="1" applyFill="1" applyBorder="1" applyAlignment="1">
      <alignment vertical="center" wrapText="1"/>
    </xf>
    <xf numFmtId="49" fontId="18" fillId="0" borderId="2" xfId="0" applyNumberFormat="1" applyFont="1" applyFill="1" applyBorder="1" applyAlignment="1">
      <alignment horizontal="left" wrapText="1"/>
    </xf>
    <xf numFmtId="49" fontId="18" fillId="0" borderId="2" xfId="0" applyNumberFormat="1" applyFont="1" applyFill="1" applyBorder="1" applyAlignment="1">
      <alignment wrapText="1"/>
    </xf>
    <xf numFmtId="49" fontId="17" fillId="0" borderId="2" xfId="0" applyNumberFormat="1" applyFont="1" applyFill="1" applyBorder="1"/>
    <xf numFmtId="165" fontId="18" fillId="0" borderId="2" xfId="0" applyNumberFormat="1" applyFont="1" applyFill="1" applyBorder="1" applyAlignment="1">
      <alignment horizontal="right" vertical="top" wrapText="1"/>
    </xf>
    <xf numFmtId="0" fontId="18" fillId="0" borderId="4" xfId="0" applyFont="1" applyFill="1" applyBorder="1" applyAlignment="1">
      <alignment horizontal="center" vertical="top" wrapText="1"/>
    </xf>
    <xf numFmtId="0" fontId="18" fillId="0" borderId="4" xfId="0" applyFont="1" applyFill="1" applyBorder="1" applyAlignment="1">
      <alignment vertical="top" wrapText="1"/>
    </xf>
    <xf numFmtId="49" fontId="7" fillId="0" borderId="2" xfId="0" applyNumberFormat="1" applyFont="1" applyFill="1" applyBorder="1" applyAlignment="1">
      <alignment vertical="justify" wrapText="1"/>
    </xf>
    <xf numFmtId="49" fontId="22" fillId="0" borderId="2" xfId="0" applyNumberFormat="1" applyFont="1" applyFill="1" applyBorder="1" applyAlignment="1">
      <alignment vertical="justify"/>
    </xf>
    <xf numFmtId="0" fontId="1" fillId="0" borderId="5" xfId="0" applyNumberFormat="1" applyFont="1" applyFill="1" applyBorder="1" applyAlignment="1">
      <alignment vertical="top" wrapText="1"/>
    </xf>
    <xf numFmtId="0" fontId="1" fillId="0" borderId="0" xfId="0" applyFont="1" applyFill="1" applyAlignment="1">
      <alignment vertical="top" wrapText="1"/>
    </xf>
    <xf numFmtId="0" fontId="21" fillId="0" borderId="2" xfId="0" applyFont="1" applyFill="1" applyBorder="1" applyAlignment="1">
      <alignment vertical="top" wrapText="1"/>
    </xf>
    <xf numFmtId="0" fontId="1" fillId="0" borderId="2" xfId="0" applyFont="1" applyFill="1" applyBorder="1"/>
    <xf numFmtId="0" fontId="21" fillId="0" borderId="2"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3" xfId="3" applyNumberFormat="1" applyFont="1" applyFill="1" applyBorder="1" applyAlignment="1" applyProtection="1">
      <alignment vertical="top" wrapText="1"/>
      <protection hidden="1"/>
    </xf>
    <xf numFmtId="0" fontId="21" fillId="0" borderId="2" xfId="0" applyNumberFormat="1" applyFont="1" applyFill="1" applyBorder="1" applyAlignment="1">
      <alignment vertical="justify"/>
    </xf>
    <xf numFmtId="49" fontId="21" fillId="0" borderId="3" xfId="0" applyNumberFormat="1" applyFont="1" applyFill="1" applyBorder="1" applyAlignment="1">
      <alignment horizontal="left" vertical="top" wrapText="1"/>
    </xf>
    <xf numFmtId="49" fontId="27" fillId="0" borderId="2" xfId="0" applyNumberFormat="1" applyFont="1" applyFill="1" applyBorder="1" applyAlignment="1">
      <alignment horizontal="center" vertical="top"/>
    </xf>
    <xf numFmtId="0" fontId="7" fillId="0" borderId="2" xfId="0" applyFont="1" applyFill="1" applyBorder="1" applyAlignment="1">
      <alignment vertical="top" wrapText="1"/>
    </xf>
    <xf numFmtId="49" fontId="21" fillId="0" borderId="2" xfId="0" applyNumberFormat="1" applyFont="1" applyFill="1" applyBorder="1" applyAlignment="1">
      <alignment vertical="justify"/>
    </xf>
    <xf numFmtId="49" fontId="16" fillId="0" borderId="5" xfId="0" applyNumberFormat="1" applyFont="1" applyFill="1" applyBorder="1" applyAlignment="1">
      <alignment horizontal="center" vertical="top"/>
    </xf>
    <xf numFmtId="0" fontId="21" fillId="0" borderId="5" xfId="3" applyNumberFormat="1" applyFont="1" applyFill="1" applyBorder="1" applyAlignment="1" applyProtection="1">
      <alignment horizontal="center" vertical="top" wrapText="1"/>
      <protection hidden="1"/>
    </xf>
    <xf numFmtId="0" fontId="21" fillId="0" borderId="5" xfId="3" applyNumberFormat="1" applyFont="1" applyFill="1" applyBorder="1" applyAlignment="1" applyProtection="1">
      <alignment horizontal="left" vertical="top" wrapText="1"/>
      <protection hidden="1"/>
    </xf>
    <xf numFmtId="49" fontId="27" fillId="0" borderId="5" xfId="0" applyNumberFormat="1" applyFont="1" applyFill="1" applyBorder="1" applyAlignment="1">
      <alignment horizontal="center" vertical="top" wrapText="1"/>
    </xf>
    <xf numFmtId="0" fontId="7" fillId="0" borderId="5" xfId="0" applyNumberFormat="1" applyFont="1" applyFill="1" applyBorder="1" applyAlignment="1">
      <alignment vertical="top" wrapText="1"/>
    </xf>
    <xf numFmtId="0" fontId="21" fillId="0" borderId="5" xfId="0" applyNumberFormat="1" applyFont="1" applyFill="1" applyBorder="1" applyAlignment="1">
      <alignment horizontal="center" vertical="center" wrapText="1"/>
    </xf>
    <xf numFmtId="49" fontId="28" fillId="0" borderId="2" xfId="0" applyNumberFormat="1" applyFont="1" applyFill="1" applyBorder="1" applyAlignment="1">
      <alignment horizontal="left" vertical="top" wrapText="1"/>
    </xf>
    <xf numFmtId="0" fontId="1" fillId="0" borderId="4" xfId="0" applyFont="1" applyFill="1" applyBorder="1" applyAlignment="1">
      <alignment horizontal="center" vertical="top" wrapText="1"/>
    </xf>
    <xf numFmtId="167" fontId="21" fillId="0" borderId="2" xfId="0" applyNumberFormat="1" applyFont="1" applyFill="1" applyBorder="1" applyAlignment="1">
      <alignment vertical="top" wrapText="1"/>
    </xf>
    <xf numFmtId="0" fontId="21" fillId="0" borderId="10" xfId="0" applyFont="1" applyFill="1" applyBorder="1" applyAlignment="1">
      <alignment horizontal="center" vertical="center" wrapText="1"/>
    </xf>
    <xf numFmtId="49" fontId="35" fillId="0" borderId="2" xfId="0" applyNumberFormat="1" applyFont="1" applyFill="1" applyBorder="1"/>
    <xf numFmtId="0" fontId="28" fillId="0" borderId="5" xfId="3" applyNumberFormat="1" applyFont="1" applyFill="1" applyBorder="1" applyAlignment="1" applyProtection="1">
      <alignment horizontal="center" vertical="top" wrapText="1"/>
      <protection hidden="1"/>
    </xf>
    <xf numFmtId="49" fontId="1" fillId="0" borderId="3" xfId="0" applyNumberFormat="1" applyFont="1" applyFill="1" applyBorder="1" applyAlignment="1">
      <alignment horizontal="left" vertical="top" wrapText="1"/>
    </xf>
    <xf numFmtId="0" fontId="21" fillId="0" borderId="10" xfId="0" applyFont="1" applyFill="1" applyBorder="1" applyAlignment="1">
      <alignment horizontal="center" vertical="top" wrapText="1"/>
    </xf>
    <xf numFmtId="166" fontId="18" fillId="0" borderId="2" xfId="0" applyNumberFormat="1" applyFont="1" applyFill="1" applyBorder="1" applyAlignment="1">
      <alignment horizontal="right" vertical="top" wrapText="1"/>
    </xf>
    <xf numFmtId="0" fontId="37" fillId="0" borderId="2" xfId="0" applyFont="1" applyFill="1" applyBorder="1" applyAlignment="1">
      <alignment wrapText="1"/>
    </xf>
    <xf numFmtId="0" fontId="37" fillId="0" borderId="3" xfId="0" applyFont="1" applyFill="1" applyBorder="1" applyAlignment="1">
      <alignment wrapText="1"/>
    </xf>
    <xf numFmtId="0" fontId="18" fillId="0" borderId="2" xfId="0" applyNumberFormat="1" applyFont="1" applyFill="1" applyBorder="1" applyAlignment="1">
      <alignment horizontal="center" vertical="top" wrapText="1"/>
    </xf>
    <xf numFmtId="165" fontId="18" fillId="0" borderId="2" xfId="0" applyNumberFormat="1" applyFont="1" applyFill="1" applyBorder="1" applyAlignment="1">
      <alignment horizontal="center" vertical="top"/>
    </xf>
    <xf numFmtId="0" fontId="21" fillId="0" borderId="0" xfId="0" applyNumberFormat="1" applyFont="1" applyFill="1" applyBorder="1" applyAlignment="1">
      <alignment horizontal="center" vertical="top" wrapText="1"/>
    </xf>
    <xf numFmtId="0" fontId="2" fillId="0" borderId="4" xfId="0" applyFont="1" applyFill="1" applyBorder="1" applyAlignment="1">
      <alignment horizontal="left" vertical="top" wrapText="1"/>
    </xf>
    <xf numFmtId="0" fontId="2" fillId="0" borderId="0" xfId="0" applyNumberFormat="1" applyFont="1" applyFill="1" applyBorder="1" applyAlignment="1">
      <alignment horizontal="left" vertical="top" wrapText="1"/>
    </xf>
    <xf numFmtId="0" fontId="21" fillId="0" borderId="2" xfId="0" applyFont="1" applyFill="1" applyBorder="1" applyAlignment="1">
      <alignment horizontal="center" vertical="top" wrapText="1"/>
    </xf>
    <xf numFmtId="167" fontId="21" fillId="0" borderId="7" xfId="0" applyNumberFormat="1" applyFont="1" applyFill="1" applyBorder="1" applyAlignment="1">
      <alignment vertical="top" wrapText="1"/>
    </xf>
    <xf numFmtId="0" fontId="21" fillId="0" borderId="2" xfId="0" applyFont="1" applyFill="1" applyBorder="1" applyAlignment="1">
      <alignment wrapText="1"/>
    </xf>
    <xf numFmtId="49" fontId="21" fillId="0" borderId="2" xfId="0" applyNumberFormat="1" applyFont="1" applyFill="1" applyBorder="1" applyAlignment="1">
      <alignment horizontal="center" vertical="center" wrapText="1"/>
    </xf>
    <xf numFmtId="0" fontId="32" fillId="0" borderId="4" xfId="0" applyFont="1" applyFill="1" applyBorder="1" applyAlignment="1">
      <alignment vertical="top"/>
    </xf>
    <xf numFmtId="0" fontId="38" fillId="0" borderId="4" xfId="0" applyFont="1" applyFill="1" applyBorder="1" applyAlignment="1">
      <alignment vertical="top"/>
    </xf>
    <xf numFmtId="0" fontId="21" fillId="0" borderId="2" xfId="3" applyNumberFormat="1" applyFont="1" applyFill="1" applyBorder="1" applyAlignment="1" applyProtection="1">
      <alignment vertical="top" wrapText="1"/>
      <protection hidden="1"/>
    </xf>
    <xf numFmtId="49" fontId="21" fillId="0" borderId="2" xfId="0" applyNumberFormat="1" applyFont="1" applyFill="1" applyBorder="1" applyAlignment="1">
      <alignment vertical="center" wrapText="1"/>
    </xf>
    <xf numFmtId="0" fontId="21" fillId="0" borderId="4" xfId="0" applyFont="1" applyFill="1" applyBorder="1" applyAlignment="1">
      <alignment vertical="top" wrapText="1"/>
    </xf>
    <xf numFmtId="0" fontId="21" fillId="0" borderId="5" xfId="0" applyFont="1" applyFill="1" applyBorder="1" applyAlignment="1">
      <alignment vertical="top" wrapText="1"/>
    </xf>
    <xf numFmtId="2" fontId="21" fillId="0" borderId="2" xfId="0" applyNumberFormat="1" applyFont="1" applyFill="1" applyBorder="1" applyAlignment="1">
      <alignment horizontal="center" vertical="top" wrapText="1"/>
    </xf>
    <xf numFmtId="0" fontId="21" fillId="0" borderId="2" xfId="0" applyNumberFormat="1" applyFont="1" applyFill="1" applyBorder="1" applyAlignment="1" applyProtection="1">
      <alignment horizontal="left" vertical="top" wrapText="1"/>
    </xf>
    <xf numFmtId="49" fontId="28" fillId="0" borderId="2" xfId="0" applyNumberFormat="1" applyFont="1" applyFill="1" applyBorder="1" applyAlignment="1">
      <alignment horizontal="center" vertical="top" wrapText="1"/>
    </xf>
    <xf numFmtId="0" fontId="17" fillId="0" borderId="4" xfId="0" applyFont="1" applyFill="1" applyBorder="1" applyAlignment="1">
      <alignment horizontal="center" vertical="top" wrapText="1"/>
    </xf>
    <xf numFmtId="0" fontId="21" fillId="0" borderId="3" xfId="0" applyFont="1" applyFill="1" applyBorder="1" applyAlignment="1">
      <alignment vertical="top" wrapText="1"/>
    </xf>
    <xf numFmtId="49" fontId="28" fillId="0" borderId="5" xfId="0" applyNumberFormat="1" applyFont="1" applyFill="1" applyBorder="1" applyAlignment="1">
      <alignment horizontal="center" vertical="top" wrapText="1"/>
    </xf>
    <xf numFmtId="49" fontId="31" fillId="0" borderId="3" xfId="0" applyNumberFormat="1" applyFont="1" applyFill="1" applyBorder="1" applyAlignment="1">
      <alignment horizontal="center" vertical="top" wrapText="1"/>
    </xf>
    <xf numFmtId="49" fontId="1" fillId="0" borderId="4" xfId="0" applyNumberFormat="1" applyFont="1" applyFill="1" applyBorder="1" applyAlignment="1">
      <alignment horizontal="left" vertical="top" wrapText="1"/>
    </xf>
    <xf numFmtId="0" fontId="6" fillId="0" borderId="2" xfId="0" applyFont="1" applyFill="1" applyBorder="1" applyAlignment="1">
      <alignment horizontal="center" vertical="top" wrapText="1"/>
    </xf>
    <xf numFmtId="49" fontId="39" fillId="0" borderId="2" xfId="0" applyNumberFormat="1" applyFont="1" applyFill="1" applyBorder="1" applyAlignment="1">
      <alignment horizontal="center" vertical="top" wrapText="1"/>
    </xf>
    <xf numFmtId="0" fontId="18" fillId="0" borderId="2" xfId="0" applyFont="1" applyFill="1" applyBorder="1" applyAlignment="1">
      <alignment vertical="justify"/>
    </xf>
    <xf numFmtId="49" fontId="21" fillId="0" borderId="2" xfId="0" applyNumberFormat="1" applyFont="1" applyFill="1" applyBorder="1"/>
    <xf numFmtId="0" fontId="17" fillId="0" borderId="2" xfId="0" applyFont="1" applyFill="1" applyBorder="1"/>
    <xf numFmtId="0" fontId="21" fillId="0" borderId="2" xfId="0" applyFont="1" applyFill="1" applyBorder="1" applyAlignment="1">
      <alignment vertical="center" wrapText="1"/>
    </xf>
    <xf numFmtId="0" fontId="21" fillId="0" borderId="6" xfId="0" applyFont="1" applyFill="1" applyBorder="1" applyAlignment="1">
      <alignment horizontal="left" vertical="top" wrapText="1"/>
    </xf>
    <xf numFmtId="166" fontId="16" fillId="0" borderId="2" xfId="0" applyNumberFormat="1" applyFont="1" applyFill="1" applyBorder="1" applyAlignment="1">
      <alignment vertical="top" wrapText="1"/>
    </xf>
    <xf numFmtId="166" fontId="18" fillId="0" borderId="2" xfId="0" applyNumberFormat="1" applyFont="1" applyFill="1" applyBorder="1" applyAlignment="1">
      <alignment vertical="top" wrapText="1"/>
    </xf>
    <xf numFmtId="165" fontId="18" fillId="0" borderId="2" xfId="0" applyNumberFormat="1" applyFont="1" applyFill="1" applyBorder="1" applyAlignment="1"/>
    <xf numFmtId="49" fontId="18" fillId="0" borderId="2" xfId="0" applyNumberFormat="1" applyFont="1" applyFill="1" applyBorder="1" applyAlignment="1">
      <alignment horizontal="left" vertical="top"/>
    </xf>
    <xf numFmtId="166" fontId="16" fillId="0" borderId="2" xfId="0" applyNumberFormat="1" applyFont="1" applyFill="1" applyBorder="1" applyAlignment="1">
      <alignment vertical="top"/>
    </xf>
    <xf numFmtId="166" fontId="18" fillId="0" borderId="2" xfId="0" applyNumberFormat="1" applyFont="1" applyFill="1" applyBorder="1" applyAlignment="1">
      <alignment vertical="top"/>
    </xf>
    <xf numFmtId="49" fontId="35" fillId="0" borderId="2" xfId="0" applyNumberFormat="1" applyFont="1" applyFill="1" applyBorder="1" applyAlignment="1">
      <alignment horizontal="left" vertical="top" wrapText="1"/>
    </xf>
    <xf numFmtId="165" fontId="16" fillId="0" borderId="3" xfId="0" applyNumberFormat="1" applyFont="1" applyFill="1" applyBorder="1" applyAlignment="1">
      <alignment vertical="top" wrapText="1"/>
    </xf>
    <xf numFmtId="0" fontId="11" fillId="0" borderId="2" xfId="0" applyFont="1" applyFill="1" applyBorder="1"/>
    <xf numFmtId="0" fontId="11" fillId="0" borderId="0" xfId="0" applyFont="1" applyFill="1"/>
    <xf numFmtId="49" fontId="40" fillId="0" borderId="7" xfId="0" applyNumberFormat="1" applyFont="1" applyFill="1" applyBorder="1" applyAlignment="1">
      <alignment horizontal="left" vertical="top" wrapText="1"/>
    </xf>
    <xf numFmtId="49" fontId="12" fillId="0" borderId="2" xfId="0" applyNumberFormat="1" applyFont="1" applyFill="1" applyBorder="1" applyAlignment="1">
      <alignment horizontal="left" vertical="top" wrapText="1"/>
    </xf>
    <xf numFmtId="49" fontId="41" fillId="0" borderId="2" xfId="0" applyNumberFormat="1" applyFont="1" applyFill="1" applyBorder="1" applyAlignment="1">
      <alignment horizontal="left" vertical="top" wrapText="1"/>
    </xf>
    <xf numFmtId="166" fontId="21" fillId="0" borderId="2" xfId="0" applyNumberFormat="1" applyFont="1" applyFill="1" applyBorder="1" applyAlignment="1">
      <alignment horizontal="right" vertical="top" wrapText="1"/>
    </xf>
    <xf numFmtId="49" fontId="40" fillId="0" borderId="2" xfId="0" applyNumberFormat="1" applyFont="1" applyFill="1" applyBorder="1" applyAlignment="1">
      <alignment horizontal="left" vertical="top" wrapText="1"/>
    </xf>
    <xf numFmtId="0" fontId="4" fillId="0" borderId="0" xfId="0" applyFont="1" applyFill="1"/>
    <xf numFmtId="49" fontId="42" fillId="0" borderId="2" xfId="0" applyNumberFormat="1" applyFont="1" applyFill="1" applyBorder="1" applyAlignment="1">
      <alignment horizontal="left" vertical="top" wrapText="1"/>
    </xf>
    <xf numFmtId="49" fontId="15" fillId="0" borderId="2" xfId="0" applyNumberFormat="1" applyFont="1" applyFill="1" applyBorder="1" applyAlignment="1">
      <alignment horizontal="left" vertical="top" wrapText="1"/>
    </xf>
    <xf numFmtId="49" fontId="43" fillId="0" borderId="2" xfId="0" applyNumberFormat="1" applyFont="1" applyFill="1" applyBorder="1" applyAlignment="1">
      <alignment horizontal="left" vertical="top" wrapText="1"/>
    </xf>
    <xf numFmtId="166" fontId="44" fillId="0" borderId="2" xfId="0" applyNumberFormat="1" applyFont="1" applyFill="1" applyBorder="1" applyAlignment="1">
      <alignment vertical="top" wrapText="1"/>
    </xf>
    <xf numFmtId="166" fontId="44" fillId="0" borderId="2" xfId="0" applyNumberFormat="1" applyFont="1" applyFill="1" applyBorder="1" applyAlignment="1">
      <alignment horizontal="right" vertical="top" wrapText="1"/>
    </xf>
    <xf numFmtId="49" fontId="45" fillId="0" borderId="2" xfId="0" applyNumberFormat="1" applyFont="1" applyFill="1" applyBorder="1" applyAlignment="1">
      <alignment horizontal="left" vertical="top" wrapText="1"/>
    </xf>
    <xf numFmtId="49" fontId="4" fillId="0" borderId="2" xfId="0" applyNumberFormat="1" applyFont="1" applyFill="1" applyBorder="1" applyAlignment="1">
      <alignment horizontal="left" vertical="top" wrapText="1"/>
    </xf>
    <xf numFmtId="49" fontId="46" fillId="0" borderId="2" xfId="0" applyNumberFormat="1" applyFont="1" applyFill="1" applyBorder="1" applyAlignment="1">
      <alignment horizontal="left" vertical="top" wrapText="1"/>
    </xf>
    <xf numFmtId="166" fontId="1" fillId="0" borderId="2" xfId="0" applyNumberFormat="1" applyFont="1" applyFill="1" applyBorder="1" applyAlignment="1">
      <alignment vertical="top" wrapText="1"/>
    </xf>
    <xf numFmtId="166" fontId="1" fillId="0" borderId="2" xfId="0" applyNumberFormat="1" applyFont="1" applyFill="1" applyBorder="1" applyAlignment="1">
      <alignment horizontal="right" vertical="top" wrapText="1"/>
    </xf>
    <xf numFmtId="49" fontId="47" fillId="0" borderId="2" xfId="0" applyNumberFormat="1" applyFont="1" applyFill="1" applyBorder="1" applyAlignment="1">
      <alignment horizontal="left" vertical="top" wrapText="1"/>
    </xf>
    <xf numFmtId="166" fontId="21" fillId="0" borderId="2" xfId="0" applyNumberFormat="1" applyFont="1" applyFill="1" applyBorder="1" applyAlignment="1">
      <alignment vertical="top" wrapText="1"/>
    </xf>
    <xf numFmtId="49" fontId="48" fillId="0" borderId="2" xfId="0" applyNumberFormat="1" applyFont="1" applyFill="1" applyBorder="1" applyAlignment="1">
      <alignment horizontal="left" vertical="top" wrapText="1"/>
    </xf>
    <xf numFmtId="0" fontId="0" fillId="0" borderId="2" xfId="0" applyBorder="1" applyAlignment="1">
      <alignment horizontal="left" vertical="top" wrapText="1"/>
    </xf>
    <xf numFmtId="0" fontId="41" fillId="0" borderId="2" xfId="0" applyFont="1" applyFill="1" applyBorder="1" applyAlignment="1">
      <alignment horizontal="left" vertical="top" wrapText="1"/>
    </xf>
    <xf numFmtId="49" fontId="49" fillId="0" borderId="2" xfId="0" applyNumberFormat="1" applyFont="1" applyFill="1" applyBorder="1" applyAlignment="1">
      <alignment horizontal="left" vertical="top" wrapText="1"/>
    </xf>
    <xf numFmtId="166" fontId="32" fillId="0" borderId="2" xfId="0" applyNumberFormat="1" applyFont="1" applyFill="1" applyBorder="1" applyAlignment="1">
      <alignment horizontal="right" vertical="top" wrapText="1"/>
    </xf>
    <xf numFmtId="166" fontId="32" fillId="0" borderId="2" xfId="0" applyNumberFormat="1" applyFont="1" applyFill="1" applyBorder="1" applyAlignment="1">
      <alignment vertical="top" wrapText="1"/>
    </xf>
    <xf numFmtId="0" fontId="46" fillId="0" borderId="2" xfId="0" applyFont="1" applyFill="1" applyBorder="1" applyAlignment="1">
      <alignment horizontal="left" vertical="top" wrapText="1"/>
    </xf>
    <xf numFmtId="0" fontId="12" fillId="0" borderId="5" xfId="0" applyFont="1" applyBorder="1" applyAlignment="1">
      <alignment vertical="center"/>
    </xf>
    <xf numFmtId="0" fontId="12" fillId="0" borderId="2" xfId="0" applyFont="1" applyFill="1" applyBorder="1" applyAlignment="1">
      <alignment vertical="center"/>
    </xf>
    <xf numFmtId="0" fontId="10" fillId="3" borderId="2" xfId="0" applyFont="1" applyFill="1" applyBorder="1"/>
    <xf numFmtId="49" fontId="10" fillId="3" borderId="3" xfId="0" applyNumberFormat="1" applyFont="1" applyFill="1" applyBorder="1" applyAlignment="1">
      <alignment horizontal="left" vertical="top" wrapText="1"/>
    </xf>
    <xf numFmtId="166" fontId="10" fillId="3" borderId="2" xfId="0" applyNumberFormat="1" applyFont="1" applyFill="1" applyBorder="1" applyAlignment="1">
      <alignment horizontal="right" vertical="top" wrapText="1"/>
    </xf>
    <xf numFmtId="0" fontId="10" fillId="3" borderId="8" xfId="0" applyFont="1" applyFill="1" applyBorder="1" applyAlignment="1">
      <alignment horizontal="center" vertical="justify" wrapText="1"/>
    </xf>
    <xf numFmtId="0" fontId="10" fillId="3" borderId="6" xfId="0" applyFont="1" applyFill="1" applyBorder="1" applyAlignment="1">
      <alignment horizontal="center" vertical="justify" wrapText="1"/>
    </xf>
    <xf numFmtId="0" fontId="10" fillId="3" borderId="7" xfId="0" applyFont="1" applyFill="1" applyBorder="1" applyAlignment="1">
      <alignment horizontal="center" vertical="justify" wrapText="1"/>
    </xf>
    <xf numFmtId="0" fontId="27" fillId="0" borderId="12" xfId="0" applyFont="1" applyFill="1" applyBorder="1" applyAlignment="1">
      <alignment horizontal="center" wrapText="1"/>
    </xf>
    <xf numFmtId="0" fontId="27" fillId="0" borderId="6" xfId="0" applyFont="1" applyFill="1" applyBorder="1" applyAlignment="1">
      <alignment horizontal="center" wrapText="1"/>
    </xf>
    <xf numFmtId="0" fontId="27" fillId="0" borderId="7" xfId="0" applyFont="1" applyFill="1" applyBorder="1" applyAlignment="1">
      <alignment horizontal="center" wrapText="1"/>
    </xf>
    <xf numFmtId="0" fontId="12" fillId="0" borderId="9" xfId="0" applyFont="1" applyFill="1" applyBorder="1" applyAlignment="1">
      <alignment vertical="top"/>
    </xf>
    <xf numFmtId="0" fontId="0" fillId="0" borderId="11" xfId="0" applyBorder="1" applyAlignment="1">
      <alignment vertical="top"/>
    </xf>
    <xf numFmtId="0" fontId="0" fillId="0" borderId="4" xfId="0" applyBorder="1" applyAlignment="1">
      <alignment vertical="top"/>
    </xf>
    <xf numFmtId="0" fontId="0" fillId="0" borderId="5" xfId="0" applyBorder="1" applyAlignment="1">
      <alignment vertical="top"/>
    </xf>
    <xf numFmtId="0" fontId="1" fillId="0" borderId="3" xfId="0" applyFont="1" applyFill="1" applyBorder="1" applyAlignment="1">
      <alignment vertical="top" wrapText="1"/>
    </xf>
    <xf numFmtId="0" fontId="1" fillId="0" borderId="5" xfId="0" applyFont="1" applyFill="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5" xfId="0" applyBorder="1" applyAlignment="1">
      <alignment vertical="top" wrapText="1"/>
    </xf>
    <xf numFmtId="49" fontId="42" fillId="0" borderId="3" xfId="0" applyNumberFormat="1" applyFont="1" applyFill="1" applyBorder="1" applyAlignment="1">
      <alignment horizontal="left" vertical="top" wrapText="1"/>
    </xf>
    <xf numFmtId="49" fontId="42" fillId="0" borderId="4" xfId="0" applyNumberFormat="1" applyFont="1" applyFill="1" applyBorder="1" applyAlignment="1">
      <alignment horizontal="left" vertical="top" wrapText="1"/>
    </xf>
    <xf numFmtId="49" fontId="42" fillId="0" borderId="5" xfId="0" applyNumberFormat="1" applyFont="1" applyFill="1" applyBorder="1" applyAlignment="1">
      <alignment horizontal="left" vertical="top" wrapText="1"/>
    </xf>
    <xf numFmtId="0" fontId="4" fillId="0" borderId="3" xfId="0" applyFont="1" applyFill="1" applyBorder="1" applyAlignment="1"/>
    <xf numFmtId="0" fontId="0" fillId="0" borderId="4" xfId="0" applyBorder="1" applyAlignment="1"/>
    <xf numFmtId="0" fontId="0" fillId="0" borderId="5" xfId="0" applyBorder="1" applyAlignment="1"/>
    <xf numFmtId="0" fontId="1" fillId="0" borderId="3" xfId="0" applyFont="1" applyFill="1" applyBorder="1" applyAlignment="1">
      <alignment horizontal="center" vertical="top" wrapText="1"/>
    </xf>
    <xf numFmtId="0" fontId="1" fillId="0" borderId="4" xfId="0" applyFont="1" applyFill="1" applyBorder="1" applyAlignment="1">
      <alignment horizontal="center" vertical="top" wrapText="1"/>
    </xf>
    <xf numFmtId="0" fontId="1" fillId="0" borderId="5" xfId="0" applyFont="1" applyFill="1" applyBorder="1" applyAlignment="1">
      <alignment horizontal="center" vertical="top" wrapText="1"/>
    </xf>
    <xf numFmtId="0" fontId="21" fillId="0" borderId="4" xfId="0" applyFont="1" applyFill="1" applyBorder="1" applyAlignment="1">
      <alignment horizontal="center" vertical="top" wrapText="1"/>
    </xf>
    <xf numFmtId="0" fontId="21" fillId="0" borderId="4"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17" fillId="0" borderId="8" xfId="0" applyFont="1" applyFill="1" applyBorder="1" applyAlignment="1">
      <alignment horizontal="center" vertical="top" wrapText="1"/>
    </xf>
    <xf numFmtId="0" fontId="17" fillId="0" borderId="6" xfId="0" applyFont="1" applyFill="1" applyBorder="1" applyAlignment="1">
      <alignment horizontal="center" vertical="top" wrapText="1"/>
    </xf>
    <xf numFmtId="0" fontId="17" fillId="0" borderId="7" xfId="0" applyFont="1" applyFill="1" applyBorder="1" applyAlignment="1">
      <alignment horizontal="center" vertical="top" wrapText="1"/>
    </xf>
    <xf numFmtId="0" fontId="21" fillId="0" borderId="3" xfId="0" applyFont="1" applyFill="1" applyBorder="1" applyAlignment="1">
      <alignment horizontal="center" vertical="center" wrapText="1"/>
    </xf>
    <xf numFmtId="0" fontId="21" fillId="0" borderId="3" xfId="0" applyFont="1" applyFill="1" applyBorder="1" applyAlignment="1">
      <alignment horizontal="center" vertical="top" wrapText="1"/>
    </xf>
    <xf numFmtId="0" fontId="21" fillId="0" borderId="5" xfId="0" applyFont="1" applyFill="1" applyBorder="1" applyAlignment="1">
      <alignment horizontal="center" vertical="top" wrapText="1"/>
    </xf>
    <xf numFmtId="0" fontId="21" fillId="0" borderId="3" xfId="0" applyNumberFormat="1" applyFont="1" applyFill="1" applyBorder="1" applyAlignment="1">
      <alignment horizontal="left" vertical="top" wrapText="1"/>
    </xf>
    <xf numFmtId="0" fontId="21" fillId="0" borderId="5" xfId="0" applyNumberFormat="1" applyFont="1" applyFill="1" applyBorder="1" applyAlignment="1">
      <alignment horizontal="left" vertical="top" wrapText="1"/>
    </xf>
    <xf numFmtId="49" fontId="21" fillId="0" borderId="3" xfId="0" applyNumberFormat="1" applyFont="1" applyFill="1" applyBorder="1" applyAlignment="1">
      <alignment horizontal="center" vertical="top" wrapText="1"/>
    </xf>
    <xf numFmtId="49" fontId="21" fillId="0" borderId="5" xfId="0" applyNumberFormat="1" applyFont="1" applyFill="1" applyBorder="1" applyAlignment="1">
      <alignment horizontal="center" vertical="top" wrapText="1"/>
    </xf>
    <xf numFmtId="0" fontId="0" fillId="0" borderId="4" xfId="0" applyFill="1" applyBorder="1" applyAlignment="1">
      <alignment horizontal="center" vertical="top" wrapText="1"/>
    </xf>
    <xf numFmtId="0" fontId="0" fillId="0" borderId="5" xfId="0" applyFill="1" applyBorder="1" applyAlignment="1">
      <alignment horizontal="center" vertical="top" wrapText="1"/>
    </xf>
    <xf numFmtId="0" fontId="6" fillId="0" borderId="2" xfId="0" applyFont="1" applyFill="1" applyBorder="1" applyAlignment="1">
      <alignment horizontal="left" vertical="center" wrapText="1"/>
    </xf>
    <xf numFmtId="0" fontId="26" fillId="0" borderId="11" xfId="0" applyFont="1" applyBorder="1" applyAlignment="1">
      <alignment horizontal="center" wrapText="1"/>
    </xf>
    <xf numFmtId="0" fontId="0" fillId="0" borderId="4" xfId="0" applyFill="1" applyBorder="1" applyAlignment="1">
      <alignment horizontal="center" vertical="center" wrapText="1"/>
    </xf>
    <xf numFmtId="0" fontId="0" fillId="0" borderId="5" xfId="0" applyFill="1" applyBorder="1" applyAlignment="1">
      <alignment horizontal="center" vertical="center" wrapText="1"/>
    </xf>
    <xf numFmtId="2" fontId="21" fillId="0" borderId="3" xfId="0" applyNumberFormat="1" applyFont="1" applyFill="1" applyBorder="1" applyAlignment="1">
      <alignment horizontal="center" vertical="center" wrapText="1"/>
    </xf>
    <xf numFmtId="2" fontId="21" fillId="0" borderId="4" xfId="0" applyNumberFormat="1"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32" fillId="0" borderId="4" xfId="0" applyFont="1" applyFill="1" applyBorder="1" applyAlignment="1">
      <alignment vertical="top"/>
    </xf>
    <xf numFmtId="0" fontId="32" fillId="0" borderId="5" xfId="0" applyFont="1" applyFill="1" applyBorder="1" applyAlignment="1">
      <alignment vertical="top"/>
    </xf>
    <xf numFmtId="0" fontId="10"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17" fillId="0" borderId="10" xfId="0" applyFont="1" applyFill="1" applyBorder="1" applyAlignment="1">
      <alignment horizontal="center" wrapText="1"/>
    </xf>
    <xf numFmtId="0" fontId="17" fillId="0" borderId="6" xfId="0" applyFont="1" applyFill="1" applyBorder="1" applyAlignment="1">
      <alignment horizontal="center" wrapText="1"/>
    </xf>
    <xf numFmtId="0" fontId="17" fillId="0" borderId="7" xfId="0" applyFont="1" applyFill="1" applyBorder="1" applyAlignment="1">
      <alignment horizontal="center" wrapText="1"/>
    </xf>
    <xf numFmtId="0" fontId="21" fillId="0" borderId="2" xfId="0" applyFont="1" applyFill="1" applyBorder="1" applyAlignment="1">
      <alignment horizontal="center" vertical="top" wrapText="1"/>
    </xf>
    <xf numFmtId="0" fontId="19" fillId="0" borderId="8" xfId="0" applyFont="1" applyFill="1" applyBorder="1" applyAlignment="1">
      <alignment horizontal="center" vertical="top" wrapText="1"/>
    </xf>
    <xf numFmtId="0" fontId="19" fillId="0" borderId="6" xfId="0" applyFont="1" applyFill="1" applyBorder="1" applyAlignment="1">
      <alignment horizontal="center" vertical="top" wrapText="1"/>
    </xf>
    <xf numFmtId="0" fontId="21" fillId="0" borderId="3" xfId="0" applyNumberFormat="1" applyFont="1" applyFill="1" applyBorder="1" applyAlignment="1">
      <alignment horizontal="center" vertical="top" wrapText="1"/>
    </xf>
    <xf numFmtId="0" fontId="21" fillId="0" borderId="4" xfId="0" applyNumberFormat="1" applyFont="1" applyFill="1" applyBorder="1" applyAlignment="1">
      <alignment horizontal="center" vertical="top" wrapText="1"/>
    </xf>
    <xf numFmtId="0" fontId="17" fillId="0" borderId="8" xfId="0" applyFont="1" applyFill="1" applyBorder="1" applyAlignment="1">
      <alignment horizontal="center" wrapText="1"/>
    </xf>
    <xf numFmtId="0" fontId="19" fillId="0" borderId="8"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0" fillId="0" borderId="5" xfId="0" applyFont="1" applyFill="1" applyBorder="1" applyAlignment="1">
      <alignment horizontal="center" vertical="top" wrapText="1"/>
    </xf>
    <xf numFmtId="0" fontId="32" fillId="0" borderId="5" xfId="0" applyFont="1" applyFill="1" applyBorder="1" applyAlignment="1">
      <alignment horizontal="center" vertical="top" wrapText="1"/>
    </xf>
    <xf numFmtId="3" fontId="21" fillId="0" borderId="9" xfId="0" applyNumberFormat="1" applyFont="1" applyFill="1" applyBorder="1" applyAlignment="1">
      <alignment horizontal="left" vertical="top" wrapText="1"/>
    </xf>
    <xf numFmtId="3" fontId="21" fillId="0" borderId="10" xfId="0" applyNumberFormat="1" applyFont="1" applyFill="1" applyBorder="1" applyAlignment="1">
      <alignment horizontal="left" vertical="top" wrapText="1"/>
    </xf>
    <xf numFmtId="0" fontId="18" fillId="0" borderId="3" xfId="0" applyFont="1" applyFill="1" applyBorder="1" applyAlignment="1">
      <alignment horizontal="center" vertical="top" wrapText="1"/>
    </xf>
    <xf numFmtId="0" fontId="18" fillId="0" borderId="4" xfId="0" applyFont="1" applyFill="1" applyBorder="1" applyAlignment="1">
      <alignment horizontal="center" vertical="top" wrapText="1"/>
    </xf>
    <xf numFmtId="0" fontId="18" fillId="0" borderId="5" xfId="0" applyFont="1" applyFill="1" applyBorder="1" applyAlignment="1">
      <alignment horizontal="center" vertical="top" wrapText="1"/>
    </xf>
    <xf numFmtId="0" fontId="21" fillId="0" borderId="3" xfId="0" applyFont="1" applyBorder="1" applyAlignment="1">
      <alignment horizontal="center" vertical="top" wrapText="1"/>
    </xf>
    <xf numFmtId="0" fontId="21" fillId="0" borderId="4" xfId="0" applyFont="1" applyBorder="1" applyAlignment="1">
      <alignment horizontal="center" vertical="top" wrapText="1"/>
    </xf>
    <xf numFmtId="49" fontId="16" fillId="0" borderId="3" xfId="0" applyNumberFormat="1" applyFont="1" applyFill="1" applyBorder="1" applyAlignment="1">
      <alignment horizontal="center" vertical="top"/>
    </xf>
    <xf numFmtId="49" fontId="16" fillId="0" borderId="4" xfId="0" applyNumberFormat="1" applyFont="1" applyFill="1" applyBorder="1" applyAlignment="1">
      <alignment horizontal="center" vertical="top"/>
    </xf>
    <xf numFmtId="49" fontId="16" fillId="0" borderId="5" xfId="0" applyNumberFormat="1" applyFont="1" applyFill="1" applyBorder="1" applyAlignment="1">
      <alignment horizontal="center" vertical="top"/>
    </xf>
    <xf numFmtId="49" fontId="16" fillId="0" borderId="3" xfId="0" applyNumberFormat="1" applyFont="1" applyFill="1" applyBorder="1" applyAlignment="1">
      <alignment horizontal="center" vertical="top" wrapText="1"/>
    </xf>
    <xf numFmtId="49" fontId="16" fillId="0" borderId="4" xfId="0" applyNumberFormat="1" applyFont="1" applyFill="1" applyBorder="1" applyAlignment="1">
      <alignment horizontal="center" vertical="top" wrapText="1"/>
    </xf>
    <xf numFmtId="49" fontId="16" fillId="0" borderId="5" xfId="0" applyNumberFormat="1" applyFont="1" applyFill="1" applyBorder="1" applyAlignment="1">
      <alignment horizontal="center" vertical="top" wrapText="1"/>
    </xf>
    <xf numFmtId="0" fontId="18" fillId="0" borderId="2" xfId="0" applyFont="1" applyFill="1" applyBorder="1" applyAlignment="1">
      <alignment horizontal="center" vertical="top" wrapText="1"/>
    </xf>
    <xf numFmtId="2" fontId="7" fillId="0" borderId="2" xfId="0" applyNumberFormat="1" applyFont="1" applyFill="1" applyBorder="1" applyAlignment="1">
      <alignment horizontal="center" vertical="center" wrapText="1"/>
    </xf>
    <xf numFmtId="0" fontId="10" fillId="0" borderId="2" xfId="0" applyFont="1" applyFill="1" applyBorder="1" applyAlignment="1">
      <alignment horizontal="center" wrapText="1" shrinkToFit="1"/>
    </xf>
    <xf numFmtId="0" fontId="7" fillId="0" borderId="3" xfId="0" applyFont="1" applyBorder="1" applyAlignment="1">
      <alignment horizontal="center" vertical="top" wrapText="1"/>
    </xf>
    <xf numFmtId="0" fontId="7" fillId="0" borderId="4" xfId="0" applyFont="1" applyBorder="1" applyAlignment="1">
      <alignment horizontal="center" vertical="top" wrapText="1"/>
    </xf>
    <xf numFmtId="0" fontId="7" fillId="0" borderId="5" xfId="0" applyFont="1" applyBorder="1" applyAlignment="1">
      <alignment horizontal="center" vertical="top" wrapText="1"/>
    </xf>
    <xf numFmtId="0" fontId="18" fillId="2" borderId="6" xfId="0" applyFont="1" applyFill="1" applyBorder="1" applyAlignment="1">
      <alignment horizontal="center" vertical="top" wrapText="1"/>
    </xf>
    <xf numFmtId="0" fontId="18" fillId="2" borderId="7" xfId="0" applyFont="1" applyFill="1" applyBorder="1" applyAlignment="1">
      <alignment horizontal="center" vertical="top" wrapText="1"/>
    </xf>
    <xf numFmtId="49" fontId="7" fillId="0" borderId="2" xfId="0" applyNumberFormat="1" applyFont="1" applyFill="1" applyBorder="1" applyAlignment="1">
      <alignment horizontal="center" vertical="center" wrapText="1"/>
    </xf>
    <xf numFmtId="0" fontId="17" fillId="5" borderId="6" xfId="0" applyFont="1" applyFill="1" applyBorder="1" applyAlignment="1">
      <alignment horizontal="center" vertical="top" wrapText="1"/>
    </xf>
    <xf numFmtId="0" fontId="17" fillId="5" borderId="7" xfId="0" applyFont="1" applyFill="1" applyBorder="1" applyAlignment="1">
      <alignment horizontal="center" vertical="top" wrapText="1"/>
    </xf>
    <xf numFmtId="0" fontId="19" fillId="0" borderId="8" xfId="0" applyFont="1" applyBorder="1" applyAlignment="1">
      <alignment horizontal="center" wrapText="1"/>
    </xf>
    <xf numFmtId="0" fontId="19" fillId="0" borderId="6" xfId="0" applyFont="1" applyBorder="1" applyAlignment="1">
      <alignment horizontal="center" wrapText="1"/>
    </xf>
    <xf numFmtId="0" fontId="19" fillId="0" borderId="7" xfId="0" applyFont="1" applyBorder="1" applyAlignment="1">
      <alignment horizontal="center" wrapText="1"/>
    </xf>
    <xf numFmtId="0" fontId="18" fillId="0" borderId="8" xfId="0" applyFont="1" applyFill="1" applyBorder="1" applyAlignment="1">
      <alignment horizontal="center" vertical="justify"/>
    </xf>
    <xf numFmtId="0" fontId="18" fillId="0" borderId="6" xfId="0" applyFont="1" applyFill="1" applyBorder="1" applyAlignment="1">
      <alignment horizontal="center" vertical="justify"/>
    </xf>
    <xf numFmtId="0" fontId="18" fillId="0" borderId="7" xfId="0" applyFont="1" applyFill="1" applyBorder="1" applyAlignment="1">
      <alignment horizontal="center" vertical="justify"/>
    </xf>
    <xf numFmtId="0" fontId="10" fillId="0" borderId="2" xfId="0" applyFont="1" applyFill="1" applyBorder="1" applyAlignment="1">
      <alignment horizontal="center" vertical="top" wrapText="1"/>
    </xf>
    <xf numFmtId="0" fontId="5" fillId="0" borderId="0" xfId="0" applyFont="1" applyAlignment="1">
      <alignment horizontal="center" vertical="justify"/>
    </xf>
    <xf numFmtId="0" fontId="6" fillId="0" borderId="1" xfId="0" applyFont="1" applyBorder="1" applyAlignment="1">
      <alignment horizontal="center" vertical="justify"/>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8"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xf>
    <xf numFmtId="164" fontId="7" fillId="0" borderId="3" xfId="1" applyFont="1" applyFill="1" applyBorder="1" applyAlignment="1">
      <alignment horizontal="center" vertical="center" wrapText="1"/>
    </xf>
    <xf numFmtId="164" fontId="7" fillId="0" borderId="4" xfId="1" applyFont="1" applyFill="1" applyBorder="1" applyAlignment="1">
      <alignment horizontal="center" vertical="center" wrapText="1"/>
    </xf>
    <xf numFmtId="164" fontId="7" fillId="0" borderId="5" xfId="1" applyFont="1" applyFill="1" applyBorder="1" applyAlignment="1">
      <alignment horizontal="center" vertical="center" wrapText="1"/>
    </xf>
    <xf numFmtId="2" fontId="7" fillId="0" borderId="3" xfId="0" applyNumberFormat="1" applyFont="1" applyFill="1" applyBorder="1" applyAlignment="1">
      <alignment horizontal="center" vertical="center" wrapText="1"/>
    </xf>
    <xf numFmtId="2" fontId="7" fillId="0" borderId="4" xfId="0" applyNumberFormat="1" applyFont="1" applyFill="1" applyBorder="1" applyAlignment="1">
      <alignment horizontal="center" vertical="center" wrapText="1"/>
    </xf>
    <xf numFmtId="2" fontId="7" fillId="0" borderId="5" xfId="0" applyNumberFormat="1" applyFont="1" applyFill="1" applyBorder="1" applyAlignment="1">
      <alignment horizontal="center" vertical="center" wrapText="1"/>
    </xf>
    <xf numFmtId="0" fontId="10" fillId="0" borderId="0" xfId="0" applyFont="1" applyFill="1" applyBorder="1"/>
    <xf numFmtId="0" fontId="10" fillId="0" borderId="2" xfId="0" applyFont="1" applyBorder="1" applyAlignment="1">
      <alignment horizontal="center" vertical="top" wrapText="1"/>
    </xf>
    <xf numFmtId="0" fontId="7" fillId="4" borderId="2" xfId="0" applyFont="1" applyFill="1" applyBorder="1" applyAlignment="1">
      <alignment horizontal="center" vertical="top" wrapText="1"/>
    </xf>
    <xf numFmtId="0" fontId="7" fillId="4" borderId="2" xfId="0" applyFont="1" applyFill="1" applyBorder="1" applyAlignment="1">
      <alignment horizontal="left" vertical="center" wrapText="1"/>
    </xf>
    <xf numFmtId="49" fontId="7" fillId="4" borderId="2" xfId="0" applyNumberFormat="1" applyFont="1" applyFill="1" applyBorder="1" applyAlignment="1">
      <alignment vertical="center"/>
    </xf>
    <xf numFmtId="49" fontId="7" fillId="4" borderId="2" xfId="0" applyNumberFormat="1" applyFont="1" applyFill="1" applyBorder="1" applyAlignment="1">
      <alignment wrapText="1"/>
    </xf>
    <xf numFmtId="165" fontId="10" fillId="0" borderId="2" xfId="0" applyNumberFormat="1" applyFont="1" applyFill="1" applyBorder="1" applyAlignment="1">
      <alignment horizontal="right"/>
    </xf>
    <xf numFmtId="165" fontId="10" fillId="4" borderId="2" xfId="0" applyNumberFormat="1" applyFont="1" applyFill="1" applyBorder="1" applyAlignment="1">
      <alignment horizontal="right"/>
    </xf>
    <xf numFmtId="166" fontId="51" fillId="0" borderId="0" xfId="0" applyNumberFormat="1" applyFont="1"/>
    <xf numFmtId="0" fontId="51" fillId="0" borderId="0" xfId="0" applyFont="1"/>
    <xf numFmtId="49" fontId="7" fillId="4" borderId="2" xfId="0" applyNumberFormat="1" applyFont="1" applyFill="1" applyBorder="1" applyAlignment="1">
      <alignment vertical="top" wrapText="1"/>
    </xf>
    <xf numFmtId="49" fontId="7" fillId="4" borderId="2" xfId="0" applyNumberFormat="1" applyFont="1" applyFill="1" applyBorder="1" applyAlignment="1">
      <alignment horizontal="left" vertical="top" wrapText="1"/>
    </xf>
    <xf numFmtId="49" fontId="10" fillId="0" borderId="2" xfId="0" applyNumberFormat="1" applyFont="1" applyFill="1" applyBorder="1" applyAlignment="1">
      <alignment horizontal="center" vertical="center" wrapText="1"/>
    </xf>
    <xf numFmtId="165" fontId="10" fillId="4" borderId="2" xfId="0" applyNumberFormat="1" applyFont="1" applyFill="1" applyBorder="1" applyAlignment="1">
      <alignment horizontal="right" vertical="top" wrapText="1"/>
    </xf>
    <xf numFmtId="166" fontId="12" fillId="0" borderId="0" xfId="0" applyNumberFormat="1" applyFont="1" applyFill="1"/>
    <xf numFmtId="0" fontId="7" fillId="4" borderId="2" xfId="0" applyNumberFormat="1" applyFont="1" applyFill="1" applyBorder="1" applyAlignment="1">
      <alignment vertical="top" wrapText="1"/>
    </xf>
    <xf numFmtId="49" fontId="7" fillId="4" borderId="2" xfId="0" applyNumberFormat="1" applyFont="1" applyFill="1" applyBorder="1" applyAlignment="1">
      <alignment horizontal="left" vertical="center" wrapText="1"/>
    </xf>
    <xf numFmtId="49" fontId="7" fillId="0" borderId="2" xfId="0" applyNumberFormat="1" applyFont="1" applyFill="1" applyBorder="1" applyAlignment="1">
      <alignment horizontal="center" vertical="top" wrapText="1"/>
    </xf>
    <xf numFmtId="165" fontId="7" fillId="4" borderId="2" xfId="0" applyNumberFormat="1" applyFont="1" applyFill="1" applyBorder="1" applyAlignment="1">
      <alignment horizontal="right" vertical="top" wrapText="1"/>
    </xf>
    <xf numFmtId="49" fontId="14" fillId="4" borderId="2" xfId="0" applyNumberFormat="1" applyFont="1" applyFill="1" applyBorder="1"/>
    <xf numFmtId="49" fontId="7" fillId="0" borderId="2" xfId="0" applyNumberFormat="1" applyFont="1" applyFill="1" applyBorder="1" applyAlignment="1">
      <alignment horizontal="center" vertical="top"/>
    </xf>
    <xf numFmtId="49" fontId="7" fillId="0" borderId="2" xfId="0" applyNumberFormat="1" applyFont="1" applyFill="1" applyBorder="1" applyAlignment="1">
      <alignment horizontal="left" vertical="top"/>
    </xf>
    <xf numFmtId="167" fontId="7" fillId="4" borderId="2" xfId="0" applyNumberFormat="1" applyFont="1" applyFill="1" applyBorder="1" applyAlignment="1">
      <alignment horizontal="left" vertical="top" wrapText="1"/>
    </xf>
    <xf numFmtId="49" fontId="10" fillId="4" borderId="2" xfId="0" applyNumberFormat="1" applyFont="1" applyFill="1" applyBorder="1"/>
    <xf numFmtId="49" fontId="7" fillId="4" borderId="2" xfId="0" applyNumberFormat="1" applyFont="1" applyFill="1" applyBorder="1" applyAlignment="1">
      <alignment vertical="justify"/>
    </xf>
    <xf numFmtId="165" fontId="7" fillId="0" borderId="2" xfId="0" applyNumberFormat="1" applyFont="1" applyFill="1" applyBorder="1" applyAlignment="1">
      <alignment horizontal="right" vertical="top"/>
    </xf>
    <xf numFmtId="165" fontId="7" fillId="4" borderId="2" xfId="0" applyNumberFormat="1" applyFont="1" applyFill="1" applyBorder="1" applyAlignment="1">
      <alignment horizontal="right" vertical="top"/>
    </xf>
    <xf numFmtId="0" fontId="18" fillId="7" borderId="2" xfId="0" applyFont="1" applyFill="1" applyBorder="1" applyAlignment="1">
      <alignment wrapText="1"/>
    </xf>
    <xf numFmtId="0" fontId="18" fillId="7" borderId="8" xfId="0" applyFont="1" applyFill="1" applyBorder="1" applyAlignment="1">
      <alignment horizontal="center" wrapText="1"/>
    </xf>
    <xf numFmtId="0" fontId="18" fillId="7" borderId="6" xfId="0" applyFont="1" applyFill="1" applyBorder="1" applyAlignment="1">
      <alignment horizontal="center" wrapText="1"/>
    </xf>
    <xf numFmtId="0" fontId="18" fillId="7" borderId="7" xfId="0" applyFont="1" applyFill="1" applyBorder="1" applyAlignment="1">
      <alignment horizontal="center" wrapText="1"/>
    </xf>
    <xf numFmtId="0" fontId="10" fillId="7" borderId="7" xfId="0" applyFont="1" applyFill="1" applyBorder="1" applyAlignment="1">
      <alignment horizontal="center" vertical="top" wrapText="1"/>
    </xf>
    <xf numFmtId="165" fontId="10" fillId="7" borderId="2" xfId="0" applyNumberFormat="1" applyFont="1" applyFill="1" applyBorder="1" applyAlignment="1">
      <alignment horizontal="right" vertical="top" wrapText="1"/>
    </xf>
    <xf numFmtId="165" fontId="10" fillId="7" borderId="8" xfId="0" applyNumberFormat="1" applyFont="1" applyFill="1" applyBorder="1" applyAlignment="1">
      <alignment wrapText="1" shrinkToFit="1"/>
    </xf>
    <xf numFmtId="165" fontId="10" fillId="7" borderId="2" xfId="0" applyNumberFormat="1" applyFont="1" applyFill="1" applyBorder="1" applyAlignment="1">
      <alignment wrapText="1" shrinkToFit="1"/>
    </xf>
    <xf numFmtId="0" fontId="17" fillId="2" borderId="7" xfId="0" applyFont="1" applyFill="1" applyBorder="1" applyAlignment="1">
      <alignment horizontal="center" vertical="top" wrapText="1"/>
    </xf>
    <xf numFmtId="165" fontId="17" fillId="0" borderId="0" xfId="0" applyNumberFormat="1" applyFont="1" applyFill="1" applyBorder="1" applyAlignment="1">
      <alignment wrapText="1" shrinkToFit="1"/>
    </xf>
    <xf numFmtId="0" fontId="17" fillId="0" borderId="0" xfId="0" applyFont="1" applyFill="1" applyBorder="1" applyAlignment="1">
      <alignment wrapText="1" shrinkToFit="1"/>
    </xf>
    <xf numFmtId="0" fontId="17" fillId="0" borderId="0" xfId="0" applyFont="1" applyFill="1" applyBorder="1"/>
    <xf numFmtId="0" fontId="17" fillId="3" borderId="0" xfId="0" applyFont="1" applyFill="1" applyBorder="1"/>
    <xf numFmtId="0" fontId="17" fillId="3" borderId="0" xfId="0" applyFont="1" applyFill="1"/>
    <xf numFmtId="0" fontId="18" fillId="0" borderId="2" xfId="0" applyFont="1" applyFill="1" applyBorder="1" applyAlignment="1">
      <alignment horizontal="center" wrapText="1" shrinkToFit="1"/>
    </xf>
    <xf numFmtId="0" fontId="7" fillId="4" borderId="3" xfId="0" applyFont="1" applyFill="1" applyBorder="1" applyAlignment="1">
      <alignment vertical="top" wrapText="1"/>
    </xf>
    <xf numFmtId="165" fontId="12" fillId="0" borderId="0" xfId="0" applyNumberFormat="1" applyFont="1"/>
    <xf numFmtId="0" fontId="7" fillId="4" borderId="3" xfId="0" applyFont="1" applyFill="1" applyBorder="1" applyAlignment="1">
      <alignment horizontal="center" vertical="center" wrapText="1"/>
    </xf>
    <xf numFmtId="0" fontId="7" fillId="4" borderId="4" xfId="0" applyFont="1" applyFill="1" applyBorder="1" applyAlignment="1">
      <alignment horizontal="center" vertical="center" wrapText="1"/>
    </xf>
    <xf numFmtId="49" fontId="2" fillId="0" borderId="3" xfId="0" applyNumberFormat="1" applyFont="1" applyBorder="1" applyAlignment="1">
      <alignment horizontal="center" vertical="top" wrapText="1"/>
    </xf>
    <xf numFmtId="49" fontId="16" fillId="0" borderId="3" xfId="0" applyNumberFormat="1" applyFont="1" applyBorder="1" applyAlignment="1">
      <alignment horizontal="left" vertical="top" wrapText="1"/>
    </xf>
    <xf numFmtId="49" fontId="2" fillId="0" borderId="4" xfId="0" applyNumberFormat="1" applyFont="1" applyBorder="1" applyAlignment="1">
      <alignment horizontal="center" vertical="top" wrapText="1"/>
    </xf>
    <xf numFmtId="49" fontId="16" fillId="0" borderId="5" xfId="0" applyNumberFormat="1" applyFont="1" applyBorder="1" applyAlignment="1">
      <alignment horizontal="left" vertical="top" wrapText="1"/>
    </xf>
    <xf numFmtId="49" fontId="7" fillId="4" borderId="5" xfId="0" applyNumberFormat="1" applyFont="1" applyFill="1" applyBorder="1" applyAlignment="1">
      <alignment vertical="top" wrapText="1"/>
    </xf>
    <xf numFmtId="49" fontId="2" fillId="0" borderId="4" xfId="0" applyNumberFormat="1" applyFont="1" applyBorder="1" applyAlignment="1">
      <alignment vertical="top" wrapText="1"/>
    </xf>
    <xf numFmtId="49" fontId="2" fillId="0" borderId="2" xfId="0" applyNumberFormat="1" applyFont="1" applyBorder="1" applyAlignment="1">
      <alignment vertical="top" wrapText="1"/>
    </xf>
    <xf numFmtId="0" fontId="7" fillId="4" borderId="5" xfId="0" applyFont="1" applyFill="1" applyBorder="1" applyAlignment="1">
      <alignment horizontal="center" vertical="center" wrapText="1"/>
    </xf>
    <xf numFmtId="49" fontId="2" fillId="0" borderId="5" xfId="0" applyNumberFormat="1" applyFont="1" applyBorder="1" applyAlignment="1">
      <alignment horizontal="center" vertical="top" wrapText="1"/>
    </xf>
    <xf numFmtId="49" fontId="2" fillId="0" borderId="5" xfId="0" applyNumberFormat="1" applyFont="1" applyBorder="1" applyAlignment="1">
      <alignment vertical="top" wrapText="1"/>
    </xf>
    <xf numFmtId="0" fontId="7" fillId="4" borderId="4" xfId="0" applyFont="1" applyFill="1" applyBorder="1" applyAlignment="1">
      <alignment vertical="top" wrapText="1"/>
    </xf>
    <xf numFmtId="49" fontId="7" fillId="0" borderId="3" xfId="0" applyNumberFormat="1" applyFont="1" applyBorder="1" applyAlignment="1">
      <alignment horizontal="left" vertical="top" wrapText="1"/>
    </xf>
    <xf numFmtId="49" fontId="7" fillId="4" borderId="3" xfId="0" applyNumberFormat="1" applyFont="1" applyFill="1" applyBorder="1" applyAlignment="1">
      <alignment horizontal="left" vertical="top" wrapText="1"/>
    </xf>
    <xf numFmtId="49" fontId="7" fillId="0" borderId="3" xfId="0" applyNumberFormat="1" applyFont="1" applyBorder="1" applyAlignment="1">
      <alignment horizontal="center" vertical="top" wrapText="1"/>
    </xf>
    <xf numFmtId="49" fontId="7" fillId="0" borderId="4" xfId="0" applyNumberFormat="1" applyFont="1" applyBorder="1" applyAlignment="1">
      <alignment horizontal="left" vertical="top" wrapText="1"/>
    </xf>
    <xf numFmtId="49" fontId="7" fillId="4" borderId="4" xfId="0" applyNumberFormat="1" applyFont="1" applyFill="1" applyBorder="1" applyAlignment="1">
      <alignment horizontal="left" vertical="top" wrapText="1"/>
    </xf>
    <xf numFmtId="49" fontId="7" fillId="0" borderId="4" xfId="0" applyNumberFormat="1" applyFont="1" applyBorder="1" applyAlignment="1">
      <alignment horizontal="center" vertical="top" wrapText="1"/>
    </xf>
    <xf numFmtId="0" fontId="15" fillId="0" borderId="0" xfId="0" applyFont="1"/>
    <xf numFmtId="165" fontId="15" fillId="0" borderId="0" xfId="0" applyNumberFormat="1" applyFont="1"/>
    <xf numFmtId="49" fontId="7" fillId="4" borderId="4" xfId="0" applyNumberFormat="1" applyFont="1" applyFill="1" applyBorder="1" applyAlignment="1">
      <alignment vertical="top" wrapText="1"/>
    </xf>
    <xf numFmtId="165" fontId="12" fillId="4" borderId="0" xfId="0" applyNumberFormat="1" applyFont="1" applyFill="1"/>
    <xf numFmtId="49" fontId="7" fillId="0" borderId="5" xfId="0" applyNumberFormat="1" applyFont="1" applyBorder="1" applyAlignment="1">
      <alignment horizontal="left" vertical="top" wrapText="1"/>
    </xf>
    <xf numFmtId="49" fontId="7" fillId="4" borderId="3" xfId="0" applyNumberFormat="1" applyFont="1" applyFill="1" applyBorder="1" applyAlignment="1">
      <alignment horizontal="center" vertical="top" wrapText="1"/>
    </xf>
    <xf numFmtId="49" fontId="7" fillId="4" borderId="4" xfId="0" applyNumberFormat="1" applyFont="1" applyFill="1" applyBorder="1" applyAlignment="1">
      <alignment horizontal="center" vertical="top" wrapText="1"/>
    </xf>
    <xf numFmtId="49" fontId="7" fillId="4" borderId="2" xfId="0" applyNumberFormat="1" applyFont="1" applyFill="1" applyBorder="1" applyAlignment="1">
      <alignment horizontal="center" vertical="top" wrapText="1"/>
    </xf>
    <xf numFmtId="49" fontId="7" fillId="4" borderId="3" xfId="0" applyNumberFormat="1" applyFont="1" applyFill="1" applyBorder="1" applyAlignment="1">
      <alignment vertical="top" wrapText="1"/>
    </xf>
    <xf numFmtId="49" fontId="7" fillId="0" borderId="3" xfId="0" applyNumberFormat="1" applyFont="1" applyBorder="1" applyAlignment="1">
      <alignment vertical="top" wrapText="1"/>
    </xf>
    <xf numFmtId="0" fontId="7" fillId="4" borderId="2" xfId="0" applyFont="1" applyFill="1" applyBorder="1" applyAlignment="1">
      <alignment horizontal="center" vertical="center" wrapText="1"/>
    </xf>
    <xf numFmtId="0" fontId="52" fillId="0" borderId="0" xfId="0" applyFont="1" applyAlignment="1">
      <alignment vertical="top"/>
    </xf>
    <xf numFmtId="165" fontId="18" fillId="2" borderId="2" xfId="0" applyNumberFormat="1" applyFont="1" applyFill="1" applyBorder="1" applyAlignment="1">
      <alignment horizontal="right" vertical="top" wrapText="1"/>
    </xf>
    <xf numFmtId="49" fontId="27" fillId="0" borderId="2" xfId="0" applyNumberFormat="1" applyFont="1" applyFill="1" applyBorder="1"/>
    <xf numFmtId="49" fontId="27" fillId="0" borderId="2" xfId="0" applyNumberFormat="1" applyFont="1" applyFill="1" applyBorder="1" applyAlignment="1">
      <alignment vertical="top"/>
    </xf>
    <xf numFmtId="165" fontId="27" fillId="0" borderId="2" xfId="0" applyNumberFormat="1" applyFont="1" applyFill="1" applyBorder="1" applyAlignment="1">
      <alignment horizontal="right" vertical="top" wrapText="1"/>
    </xf>
    <xf numFmtId="49" fontId="27" fillId="4" borderId="2" xfId="0" applyNumberFormat="1" applyFont="1" applyFill="1" applyBorder="1" applyAlignment="1">
      <alignment vertical="top"/>
    </xf>
    <xf numFmtId="165" fontId="27" fillId="4" borderId="2" xfId="0" applyNumberFormat="1" applyFont="1" applyFill="1" applyBorder="1" applyAlignment="1">
      <alignment horizontal="right" vertical="top" wrapText="1"/>
    </xf>
    <xf numFmtId="165" fontId="27" fillId="0" borderId="2" xfId="0" applyNumberFormat="1" applyFont="1" applyFill="1" applyBorder="1" applyAlignment="1">
      <alignment vertical="top" wrapText="1"/>
    </xf>
    <xf numFmtId="165" fontId="27" fillId="0" borderId="2" xfId="0" applyNumberFormat="1" applyFont="1" applyBorder="1" applyAlignment="1">
      <alignment horizontal="right" vertical="top" wrapText="1"/>
    </xf>
    <xf numFmtId="49" fontId="27" fillId="4" borderId="2" xfId="0" applyNumberFormat="1" applyFont="1" applyFill="1" applyBorder="1" applyAlignment="1">
      <alignment vertical="top" wrapText="1"/>
    </xf>
    <xf numFmtId="2" fontId="27" fillId="0" borderId="2" xfId="0" applyNumberFormat="1" applyFont="1" applyFill="1" applyBorder="1" applyAlignment="1">
      <alignment horizontal="right" vertical="top"/>
    </xf>
    <xf numFmtId="0" fontId="21" fillId="2" borderId="2" xfId="0" applyFont="1" applyFill="1" applyBorder="1" applyAlignment="1">
      <alignment wrapText="1"/>
    </xf>
    <xf numFmtId="0" fontId="10" fillId="2" borderId="6" xfId="0" applyFont="1" applyFill="1" applyBorder="1" applyAlignment="1">
      <alignment horizontal="center" vertical="top" wrapText="1"/>
    </xf>
    <xf numFmtId="0" fontId="10" fillId="2" borderId="7" xfId="0" applyFont="1" applyFill="1" applyBorder="1" applyAlignment="1">
      <alignment horizontal="center" vertical="top" wrapText="1"/>
    </xf>
    <xf numFmtId="49" fontId="7" fillId="0" borderId="3" xfId="0" applyNumberFormat="1" applyFont="1" applyFill="1" applyBorder="1" applyAlignment="1">
      <alignment vertical="top" wrapText="1"/>
    </xf>
    <xf numFmtId="49" fontId="7" fillId="0" borderId="3" xfId="0" applyNumberFormat="1" applyFont="1" applyFill="1" applyBorder="1" applyAlignment="1">
      <alignment horizontal="left" vertical="top" wrapText="1"/>
    </xf>
    <xf numFmtId="49" fontId="2" fillId="0" borderId="2" xfId="0" applyNumberFormat="1" applyFont="1" applyFill="1" applyBorder="1" applyAlignment="1">
      <alignment horizontal="left" vertical="top" wrapText="1"/>
    </xf>
    <xf numFmtId="49" fontId="2" fillId="0" borderId="2" xfId="0" applyNumberFormat="1" applyFont="1" applyFill="1" applyBorder="1" applyAlignment="1">
      <alignment horizontal="center" vertical="top" wrapText="1"/>
    </xf>
    <xf numFmtId="49" fontId="2" fillId="0" borderId="2" xfId="0" applyNumberFormat="1" applyFont="1" applyFill="1" applyBorder="1" applyAlignment="1">
      <alignment vertical="top" wrapText="1"/>
    </xf>
    <xf numFmtId="49" fontId="27" fillId="0" borderId="2" xfId="0" applyNumberFormat="1" applyFont="1" applyFill="1" applyBorder="1" applyAlignment="1">
      <alignment vertical="top" wrapText="1"/>
    </xf>
    <xf numFmtId="49" fontId="7" fillId="0" borderId="3" xfId="0" applyNumberFormat="1" applyFont="1" applyFill="1" applyBorder="1" applyAlignment="1">
      <alignment horizontal="left" vertical="top" wrapText="1"/>
    </xf>
    <xf numFmtId="49" fontId="7" fillId="0" borderId="4" xfId="0" applyNumberFormat="1" applyFont="1" applyFill="1" applyBorder="1" applyAlignment="1">
      <alignment horizontal="left" vertical="top" wrapText="1"/>
    </xf>
    <xf numFmtId="49" fontId="7" fillId="0" borderId="3" xfId="0" applyNumberFormat="1" applyFont="1" applyFill="1" applyBorder="1" applyAlignment="1">
      <alignment horizontal="center" vertical="top" wrapText="1"/>
    </xf>
    <xf numFmtId="0" fontId="7" fillId="0" borderId="3" xfId="0" applyFont="1" applyFill="1" applyBorder="1" applyAlignment="1">
      <alignment horizontal="left" vertical="top" wrapText="1"/>
    </xf>
    <xf numFmtId="49" fontId="7" fillId="0" borderId="3" xfId="0" applyNumberFormat="1" applyFont="1" applyFill="1" applyBorder="1" applyAlignment="1">
      <alignment horizontal="center" vertical="top" wrapText="1"/>
    </xf>
    <xf numFmtId="0" fontId="7" fillId="0" borderId="4" xfId="0" applyFont="1" applyFill="1" applyBorder="1" applyAlignment="1">
      <alignment horizontal="left" vertical="top" wrapText="1"/>
    </xf>
    <xf numFmtId="49" fontId="7" fillId="0" borderId="5" xfId="0" applyNumberFormat="1" applyFont="1" applyFill="1" applyBorder="1" applyAlignment="1">
      <alignment horizontal="center" vertical="top" wrapText="1"/>
    </xf>
    <xf numFmtId="49" fontId="7" fillId="0" borderId="5" xfId="0" applyNumberFormat="1" applyFont="1" applyFill="1" applyBorder="1" applyAlignment="1">
      <alignment horizontal="center" vertical="top" wrapText="1"/>
    </xf>
    <xf numFmtId="0" fontId="7" fillId="0" borderId="5" xfId="0" applyFont="1" applyFill="1" applyBorder="1" applyAlignment="1">
      <alignment horizontal="left" vertical="top" wrapText="1"/>
    </xf>
    <xf numFmtId="49" fontId="7" fillId="0" borderId="5" xfId="0" applyNumberFormat="1" applyFont="1" applyFill="1" applyBorder="1" applyAlignment="1">
      <alignment horizontal="left" vertical="top" wrapText="1"/>
    </xf>
    <xf numFmtId="0" fontId="1" fillId="0" borderId="5" xfId="0" applyFont="1" applyFill="1" applyBorder="1" applyAlignment="1">
      <alignment horizontal="left" vertical="top" wrapText="1"/>
    </xf>
    <xf numFmtId="49" fontId="7" fillId="0" borderId="5" xfId="0" applyNumberFormat="1" applyFont="1" applyFill="1" applyBorder="1" applyAlignment="1">
      <alignment horizontal="left" vertical="top" wrapText="1"/>
    </xf>
    <xf numFmtId="0" fontId="7" fillId="0" borderId="3" xfId="0" applyFont="1" applyFill="1" applyBorder="1" applyAlignment="1">
      <alignment horizontal="center" vertical="top" wrapText="1"/>
    </xf>
    <xf numFmtId="0" fontId="7" fillId="0" borderId="5" xfId="0" applyFont="1" applyFill="1" applyBorder="1" applyAlignment="1">
      <alignment horizontal="center" vertical="top" wrapText="1"/>
    </xf>
    <xf numFmtId="0" fontId="52" fillId="0" borderId="13" xfId="0" applyFont="1" applyBorder="1" applyAlignment="1">
      <alignment vertical="top"/>
    </xf>
    <xf numFmtId="0" fontId="17" fillId="8" borderId="2" xfId="0" applyFont="1" applyFill="1" applyBorder="1" applyAlignment="1">
      <alignment horizontal="center"/>
    </xf>
    <xf numFmtId="0" fontId="1" fillId="8" borderId="2" xfId="0" applyFont="1" applyFill="1" applyBorder="1" applyAlignment="1">
      <alignment horizontal="center"/>
    </xf>
    <xf numFmtId="4" fontId="1" fillId="0" borderId="0" xfId="0" applyNumberFormat="1" applyFont="1" applyAlignment="1">
      <alignment horizontal="center"/>
    </xf>
    <xf numFmtId="0" fontId="1" fillId="0" borderId="0" xfId="0" applyFont="1" applyAlignment="1">
      <alignment horizontal="center"/>
    </xf>
    <xf numFmtId="4" fontId="27" fillId="8" borderId="2" xfId="0" applyNumberFormat="1" applyFont="1" applyFill="1" applyBorder="1" applyAlignment="1">
      <alignment horizontal="right"/>
    </xf>
    <xf numFmtId="0" fontId="17" fillId="4" borderId="2" xfId="0" applyFont="1" applyFill="1" applyBorder="1" applyAlignment="1">
      <alignment horizontal="center"/>
    </xf>
    <xf numFmtId="0" fontId="21" fillId="4" borderId="2" xfId="0" applyFont="1" applyFill="1" applyBorder="1" applyAlignment="1">
      <alignment vertical="top" wrapText="1"/>
    </xf>
    <xf numFmtId="0" fontId="53" fillId="0" borderId="2" xfId="0" applyFont="1" applyFill="1" applyBorder="1" applyAlignment="1">
      <alignment horizontal="left" vertical="top" wrapText="1"/>
    </xf>
    <xf numFmtId="9" fontId="19" fillId="0" borderId="2" xfId="4" applyFont="1" applyBorder="1" applyAlignment="1">
      <alignment wrapText="1"/>
    </xf>
    <xf numFmtId="49" fontId="1" fillId="0" borderId="2" xfId="0" applyNumberFormat="1" applyFont="1" applyFill="1" applyBorder="1" applyAlignment="1">
      <alignment horizontal="center"/>
    </xf>
    <xf numFmtId="4" fontId="1" fillId="0" borderId="2" xfId="4" applyNumberFormat="1" applyFont="1" applyBorder="1" applyAlignment="1">
      <alignment horizontal="right" wrapText="1"/>
    </xf>
    <xf numFmtId="0" fontId="54" fillId="0" borderId="3" xfId="0" applyFont="1" applyFill="1" applyBorder="1" applyAlignment="1">
      <alignment horizontal="left" vertical="top" wrapText="1"/>
    </xf>
    <xf numFmtId="9" fontId="1" fillId="0" borderId="2" xfId="4" applyFont="1" applyBorder="1" applyAlignment="1">
      <alignment horizontal="center" wrapText="1"/>
    </xf>
    <xf numFmtId="49" fontId="1" fillId="0" borderId="5" xfId="0" applyNumberFormat="1" applyFont="1" applyFill="1" applyBorder="1" applyAlignment="1">
      <alignment horizontal="center"/>
    </xf>
    <xf numFmtId="49" fontId="1" fillId="4" borderId="5" xfId="0" applyNumberFormat="1" applyFont="1" applyFill="1" applyBorder="1" applyAlignment="1">
      <alignment horizontal="center"/>
    </xf>
    <xf numFmtId="0" fontId="54" fillId="0" borderId="5" xfId="0" applyFont="1" applyFill="1" applyBorder="1" applyAlignment="1">
      <alignment horizontal="left" vertical="top" wrapText="1"/>
    </xf>
    <xf numFmtId="0" fontId="17" fillId="4" borderId="2" xfId="0" applyFont="1" applyFill="1" applyBorder="1" applyAlignment="1">
      <alignment horizontal="center" vertical="center"/>
    </xf>
    <xf numFmtId="0" fontId="53" fillId="0" borderId="3" xfId="0" applyFont="1" applyFill="1" applyBorder="1" applyAlignment="1">
      <alignment horizontal="left" vertical="center" wrapText="1"/>
    </xf>
    <xf numFmtId="9" fontId="1" fillId="0" borderId="2" xfId="4" applyFont="1" applyBorder="1" applyAlignment="1">
      <alignment horizontal="center" vertical="center" wrapText="1"/>
    </xf>
    <xf numFmtId="49" fontId="1" fillId="0" borderId="5" xfId="0" applyNumberFormat="1" applyFont="1" applyFill="1" applyBorder="1" applyAlignment="1">
      <alignment horizontal="center" vertical="center"/>
    </xf>
    <xf numFmtId="49" fontId="1" fillId="0" borderId="2" xfId="0" applyNumberFormat="1" applyFont="1" applyFill="1" applyBorder="1" applyAlignment="1">
      <alignment horizontal="center" vertical="center"/>
    </xf>
    <xf numFmtId="49" fontId="1" fillId="4" borderId="5" xfId="0" applyNumberFormat="1" applyFont="1" applyFill="1" applyBorder="1" applyAlignment="1">
      <alignment horizontal="center" vertical="center"/>
    </xf>
    <xf numFmtId="4" fontId="1" fillId="0" borderId="2" xfId="4" applyNumberFormat="1" applyFont="1" applyBorder="1" applyAlignment="1">
      <alignment horizontal="right" vertical="center" wrapText="1"/>
    </xf>
    <xf numFmtId="0" fontId="53" fillId="0" borderId="5" xfId="0" applyFont="1" applyFill="1" applyBorder="1" applyAlignment="1">
      <alignment horizontal="left" vertical="center" wrapText="1"/>
    </xf>
    <xf numFmtId="0" fontId="55" fillId="0" borderId="5" xfId="0" applyFont="1" applyFill="1" applyBorder="1" applyAlignment="1">
      <alignment vertical="top" wrapText="1"/>
    </xf>
    <xf numFmtId="0" fontId="56" fillId="0" borderId="2" xfId="0" applyFont="1" applyFill="1" applyBorder="1" applyAlignment="1">
      <alignment vertical="top" wrapText="1"/>
    </xf>
    <xf numFmtId="2" fontId="1" fillId="0" borderId="2" xfId="0" applyNumberFormat="1" applyFont="1" applyFill="1" applyBorder="1" applyAlignment="1">
      <alignment horizontal="right"/>
    </xf>
    <xf numFmtId="0" fontId="53" fillId="0" borderId="2" xfId="0" applyFont="1" applyFill="1" applyBorder="1" applyAlignment="1">
      <alignment horizontal="left" vertical="justify"/>
    </xf>
    <xf numFmtId="0" fontId="56" fillId="4" borderId="2" xfId="0" applyFont="1" applyFill="1" applyBorder="1" applyAlignment="1">
      <alignment horizontal="left" vertical="justify"/>
    </xf>
    <xf numFmtId="49" fontId="1" fillId="0" borderId="2" xfId="0" applyNumberFormat="1" applyFont="1" applyFill="1" applyBorder="1" applyAlignment="1">
      <alignment horizontal="center" vertical="justify"/>
    </xf>
    <xf numFmtId="9" fontId="12" fillId="0" borderId="0" xfId="4" applyFont="1"/>
    <xf numFmtId="49" fontId="0" fillId="0" borderId="2" xfId="0" applyNumberFormat="1" applyFont="1" applyFill="1" applyBorder="1" applyAlignment="1">
      <alignment vertical="center" wrapText="1"/>
    </xf>
    <xf numFmtId="0" fontId="56" fillId="0" borderId="2" xfId="0" applyFont="1" applyFill="1" applyBorder="1" applyAlignment="1">
      <alignment horizontal="left" vertical="top" wrapText="1"/>
    </xf>
    <xf numFmtId="0" fontId="1" fillId="0" borderId="2" xfId="0" applyFont="1" applyBorder="1" applyAlignment="1">
      <alignment vertical="justify"/>
    </xf>
    <xf numFmtId="4" fontId="1" fillId="4" borderId="2" xfId="0" applyNumberFormat="1" applyFont="1" applyFill="1" applyBorder="1" applyAlignment="1">
      <alignment horizontal="right"/>
    </xf>
    <xf numFmtId="0" fontId="56" fillId="0" borderId="2" xfId="0" applyFont="1" applyFill="1" applyBorder="1" applyAlignment="1">
      <alignment horizontal="left" vertical="center" wrapText="1"/>
    </xf>
    <xf numFmtId="0" fontId="1" fillId="4" borderId="2" xfId="0" applyFont="1" applyFill="1" applyBorder="1" applyAlignment="1">
      <alignment horizontal="center" wrapText="1"/>
    </xf>
    <xf numFmtId="49" fontId="1" fillId="4" borderId="2" xfId="0" applyNumberFormat="1" applyFont="1" applyFill="1" applyBorder="1" applyAlignment="1">
      <alignment horizontal="center" wrapText="1"/>
    </xf>
    <xf numFmtId="49" fontId="1" fillId="4" borderId="2" xfId="0" applyNumberFormat="1" applyFont="1" applyFill="1" applyBorder="1" applyAlignment="1">
      <alignment horizontal="center"/>
    </xf>
    <xf numFmtId="0" fontId="56" fillId="4" borderId="2" xfId="0" applyFont="1" applyFill="1" applyBorder="1" applyAlignment="1">
      <alignment horizontal="left" vertical="justify" wrapText="1"/>
    </xf>
    <xf numFmtId="0" fontId="56" fillId="4" borderId="2" xfId="0" applyFont="1" applyFill="1" applyBorder="1" applyAlignment="1">
      <alignment vertical="justify"/>
    </xf>
    <xf numFmtId="0" fontId="53" fillId="0" borderId="3" xfId="0" applyFont="1" applyFill="1" applyBorder="1" applyAlignment="1">
      <alignment horizontal="left" vertical="justify" wrapText="1"/>
    </xf>
    <xf numFmtId="0" fontId="53" fillId="0" borderId="5" xfId="0" applyFont="1" applyFill="1" applyBorder="1" applyAlignment="1">
      <alignment horizontal="left" vertical="justify" wrapText="1"/>
    </xf>
    <xf numFmtId="0" fontId="56" fillId="4" borderId="3" xfId="0" applyFont="1" applyFill="1" applyBorder="1" applyAlignment="1">
      <alignment horizontal="left" vertical="justify" wrapText="1"/>
    </xf>
    <xf numFmtId="0" fontId="56" fillId="4" borderId="5" xfId="0" applyFont="1" applyFill="1" applyBorder="1" applyAlignment="1">
      <alignment horizontal="left" vertical="justify" wrapText="1"/>
    </xf>
    <xf numFmtId="0" fontId="56" fillId="0" borderId="3" xfId="0" applyFont="1" applyBorder="1" applyAlignment="1">
      <alignment horizontal="left" vertical="top" wrapText="1"/>
    </xf>
    <xf numFmtId="0" fontId="56" fillId="0" borderId="5" xfId="0" applyFont="1" applyBorder="1" applyAlignment="1">
      <alignment horizontal="left" vertical="top" wrapText="1"/>
    </xf>
    <xf numFmtId="0" fontId="1" fillId="0" borderId="2" xfId="0" applyFont="1" applyBorder="1" applyAlignment="1">
      <alignment horizontal="center"/>
    </xf>
    <xf numFmtId="0" fontId="56" fillId="0" borderId="2" xfId="0" applyFont="1" applyFill="1" applyBorder="1" applyAlignment="1">
      <alignment horizontal="left" vertical="top" wrapText="1"/>
    </xf>
    <xf numFmtId="0" fontId="1" fillId="4" borderId="2" xfId="0" applyFont="1" applyFill="1" applyBorder="1" applyAlignment="1">
      <alignment horizontal="center" vertical="top" wrapText="1"/>
    </xf>
    <xf numFmtId="0" fontId="0" fillId="4" borderId="2" xfId="0" applyFont="1" applyFill="1" applyBorder="1" applyAlignment="1">
      <alignment horizontal="center"/>
    </xf>
    <xf numFmtId="0" fontId="17" fillId="0" borderId="2" xfId="0" applyFont="1" applyFill="1" applyBorder="1" applyAlignment="1">
      <alignment horizontal="center"/>
    </xf>
    <xf numFmtId="9" fontId="18" fillId="0" borderId="2" xfId="4" applyFont="1" applyFill="1" applyBorder="1" applyAlignment="1">
      <alignment horizontal="left" wrapText="1"/>
    </xf>
    <xf numFmtId="4" fontId="27" fillId="0" borderId="2" xfId="0" applyNumberFormat="1" applyFont="1" applyFill="1" applyBorder="1" applyAlignment="1">
      <alignment horizontal="right"/>
    </xf>
    <xf numFmtId="0" fontId="1" fillId="0" borderId="0" xfId="0" applyFont="1" applyFill="1" applyAlignment="1">
      <alignment horizontal="center"/>
    </xf>
    <xf numFmtId="49" fontId="27" fillId="0" borderId="2" xfId="0" applyNumberFormat="1" applyFont="1" applyFill="1" applyBorder="1" applyAlignment="1">
      <alignment horizontal="left" vertical="justify"/>
    </xf>
    <xf numFmtId="0" fontId="53" fillId="0" borderId="2" xfId="0" applyFont="1" applyFill="1" applyBorder="1" applyAlignment="1">
      <alignment horizontal="left" vertical="justify" wrapText="1"/>
    </xf>
    <xf numFmtId="2" fontId="18" fillId="0" borderId="2" xfId="0" applyNumberFormat="1" applyFont="1" applyFill="1" applyBorder="1" applyAlignment="1">
      <alignment horizontal="right"/>
    </xf>
    <xf numFmtId="49" fontId="16" fillId="0" borderId="2" xfId="0" applyNumberFormat="1" applyFont="1" applyFill="1" applyBorder="1" applyAlignment="1">
      <alignment horizontal="center" vertical="justify"/>
    </xf>
    <xf numFmtId="0" fontId="56" fillId="0" borderId="2" xfId="0" applyFont="1" applyFill="1" applyBorder="1" applyAlignment="1">
      <alignment horizontal="left" vertical="justify"/>
    </xf>
    <xf numFmtId="0" fontId="27" fillId="0" borderId="2" xfId="0" applyFont="1" applyFill="1" applyBorder="1" applyAlignment="1">
      <alignment horizontal="center" wrapText="1"/>
    </xf>
    <xf numFmtId="0" fontId="27" fillId="0" borderId="2" xfId="0" applyFont="1" applyFill="1" applyBorder="1" applyAlignment="1">
      <alignment horizontal="center" wrapText="1"/>
    </xf>
    <xf numFmtId="1" fontId="17" fillId="0" borderId="2" xfId="4" applyNumberFormat="1" applyFont="1" applyFill="1" applyBorder="1" applyAlignment="1">
      <alignment horizontal="center" wrapText="1"/>
    </xf>
    <xf numFmtId="9" fontId="18" fillId="0" borderId="2" xfId="4" applyFont="1" applyFill="1" applyBorder="1" applyAlignment="1">
      <alignment horizontal="center" wrapText="1"/>
    </xf>
    <xf numFmtId="9" fontId="19" fillId="0" borderId="2" xfId="4" applyFont="1" applyFill="1" applyBorder="1" applyAlignment="1">
      <alignment horizontal="center" wrapText="1"/>
    </xf>
    <xf numFmtId="49" fontId="27" fillId="0" borderId="2" xfId="4" applyNumberFormat="1" applyFont="1" applyFill="1" applyBorder="1" applyAlignment="1">
      <alignment horizontal="left" wrapText="1"/>
    </xf>
    <xf numFmtId="4" fontId="18" fillId="0" borderId="2" xfId="4" applyNumberFormat="1" applyFont="1" applyFill="1" applyBorder="1" applyAlignment="1">
      <alignment horizontal="right" wrapText="1"/>
    </xf>
    <xf numFmtId="165" fontId="27" fillId="8" borderId="2" xfId="0" applyNumberFormat="1" applyFont="1" applyFill="1" applyBorder="1" applyAlignment="1">
      <alignment horizontal="center" vertical="center"/>
    </xf>
    <xf numFmtId="165" fontId="4" fillId="0" borderId="0" xfId="0" applyNumberFormat="1" applyFont="1" applyAlignment="1">
      <alignment horizontal="center"/>
    </xf>
    <xf numFmtId="0" fontId="18" fillId="4" borderId="2" xfId="0" applyFont="1" applyFill="1" applyBorder="1" applyAlignment="1">
      <alignment horizontal="center"/>
    </xf>
    <xf numFmtId="0" fontId="18" fillId="4" borderId="8" xfId="0" applyFont="1" applyFill="1" applyBorder="1" applyAlignment="1">
      <alignment horizontal="left" vertical="center" wrapText="1"/>
    </xf>
    <xf numFmtId="0" fontId="18" fillId="4" borderId="6" xfId="0" applyFont="1" applyFill="1" applyBorder="1" applyAlignment="1">
      <alignment horizontal="left" vertical="center" wrapText="1"/>
    </xf>
    <xf numFmtId="0" fontId="18" fillId="4" borderId="7" xfId="0" applyFont="1" applyFill="1" applyBorder="1" applyAlignment="1">
      <alignment horizontal="left" vertical="center" wrapText="1"/>
    </xf>
    <xf numFmtId="165" fontId="18" fillId="4" borderId="2" xfId="0" applyNumberFormat="1" applyFont="1" applyFill="1" applyBorder="1" applyAlignment="1">
      <alignment horizontal="center" vertical="center" wrapText="1"/>
    </xf>
    <xf numFmtId="165" fontId="10" fillId="0" borderId="0" xfId="0" applyNumberFormat="1" applyFont="1"/>
    <xf numFmtId="0" fontId="10" fillId="0" borderId="0" xfId="0" applyFont="1"/>
    <xf numFmtId="0" fontId="58" fillId="4" borderId="2" xfId="0" applyFont="1" applyFill="1" applyBorder="1"/>
    <xf numFmtId="0" fontId="59" fillId="4" borderId="6" xfId="0" applyFont="1" applyFill="1" applyBorder="1" applyAlignment="1">
      <alignment horizontal="center" wrapText="1"/>
    </xf>
    <xf numFmtId="0" fontId="59" fillId="4" borderId="0" xfId="0" applyFont="1" applyFill="1" applyAlignment="1">
      <alignment horizontal="center" wrapText="1"/>
    </xf>
    <xf numFmtId="0" fontId="60" fillId="4" borderId="0" xfId="0" applyFont="1" applyFill="1"/>
    <xf numFmtId="0" fontId="18" fillId="4" borderId="3" xfId="0" applyFont="1" applyFill="1" applyBorder="1" applyAlignment="1">
      <alignment horizontal="center" vertical="center"/>
    </xf>
    <xf numFmtId="0" fontId="18" fillId="4" borderId="3" xfId="0" applyFont="1" applyFill="1" applyBorder="1" applyAlignment="1">
      <alignment horizontal="center" vertical="center" wrapText="1"/>
    </xf>
    <xf numFmtId="0" fontId="18" fillId="4" borderId="4" xfId="0" applyFont="1" applyFill="1" applyBorder="1" applyAlignment="1">
      <alignment horizontal="center" vertical="center"/>
    </xf>
    <xf numFmtId="0" fontId="18" fillId="4" borderId="4" xfId="0" applyFont="1" applyFill="1" applyBorder="1" applyAlignment="1">
      <alignment horizontal="center" vertical="center" wrapText="1"/>
    </xf>
    <xf numFmtId="167" fontId="37" fillId="4" borderId="3" xfId="0" applyNumberFormat="1" applyFont="1" applyFill="1" applyBorder="1" applyAlignment="1">
      <alignment horizontal="center" vertical="distributed" wrapText="1"/>
    </xf>
    <xf numFmtId="49" fontId="16" fillId="4" borderId="2" xfId="0" applyNumberFormat="1" applyFont="1" applyFill="1" applyBorder="1" applyAlignment="1">
      <alignment wrapText="1"/>
    </xf>
    <xf numFmtId="49" fontId="37" fillId="4" borderId="3" xfId="0" applyNumberFormat="1" applyFont="1" applyFill="1" applyBorder="1" applyAlignment="1">
      <alignment horizontal="center" vertical="center" wrapText="1"/>
    </xf>
    <xf numFmtId="49" fontId="16" fillId="4" borderId="2" xfId="0" applyNumberFormat="1" applyFont="1" applyFill="1" applyBorder="1" applyAlignment="1">
      <alignment horizontal="center" vertical="center" wrapText="1"/>
    </xf>
    <xf numFmtId="49" fontId="16" fillId="4" borderId="2" xfId="0" applyNumberFormat="1" applyFont="1" applyFill="1" applyBorder="1" applyAlignment="1">
      <alignment horizontal="center" vertical="center"/>
    </xf>
    <xf numFmtId="165" fontId="16" fillId="4" borderId="2" xfId="0" applyNumberFormat="1" applyFont="1" applyFill="1" applyBorder="1" applyAlignment="1">
      <alignment horizontal="center" vertical="center" wrapText="1"/>
    </xf>
    <xf numFmtId="4" fontId="4" fillId="0" borderId="0" xfId="0" applyNumberFormat="1" applyFont="1"/>
    <xf numFmtId="167" fontId="37" fillId="4" borderId="5" xfId="0" applyNumberFormat="1" applyFont="1" applyFill="1" applyBorder="1" applyAlignment="1">
      <alignment horizontal="center" vertical="distributed" wrapText="1"/>
    </xf>
    <xf numFmtId="49" fontId="16" fillId="4" borderId="5" xfId="0" applyNumberFormat="1" applyFont="1" applyFill="1" applyBorder="1" applyAlignment="1">
      <alignment wrapText="1"/>
    </xf>
    <xf numFmtId="49" fontId="37" fillId="4" borderId="4" xfId="0" applyNumberFormat="1" applyFont="1" applyFill="1" applyBorder="1" applyAlignment="1">
      <alignment horizontal="center" vertical="center" wrapText="1"/>
    </xf>
    <xf numFmtId="167" fontId="37" fillId="4" borderId="2" xfId="0" applyNumberFormat="1" applyFont="1" applyFill="1" applyBorder="1" applyAlignment="1">
      <alignment horizontal="center" vertical="distributed" wrapText="1"/>
    </xf>
    <xf numFmtId="167" fontId="37" fillId="4" borderId="5" xfId="0" applyNumberFormat="1" applyFont="1" applyFill="1" applyBorder="1" applyAlignment="1">
      <alignment horizontal="center" vertical="center" wrapText="1"/>
    </xf>
    <xf numFmtId="0" fontId="61" fillId="0" borderId="0" xfId="0" applyFont="1"/>
    <xf numFmtId="4" fontId="61" fillId="0" borderId="0" xfId="0" applyNumberFormat="1" applyFont="1"/>
    <xf numFmtId="167" fontId="37" fillId="4" borderId="2" xfId="0" applyNumberFormat="1" applyFont="1" applyFill="1" applyBorder="1" applyAlignment="1">
      <alignment vertical="center" wrapText="1"/>
    </xf>
    <xf numFmtId="167" fontId="37" fillId="4" borderId="3" xfId="0" applyNumberFormat="1" applyFont="1" applyFill="1" applyBorder="1" applyAlignment="1">
      <alignment horizontal="left" vertical="distributed" wrapText="1"/>
    </xf>
    <xf numFmtId="49" fontId="16" fillId="4" borderId="3" xfId="0" applyNumberFormat="1" applyFont="1" applyFill="1" applyBorder="1" applyAlignment="1">
      <alignment wrapText="1"/>
    </xf>
    <xf numFmtId="167" fontId="37" fillId="4" borderId="5" xfId="0" applyNumberFormat="1" applyFont="1" applyFill="1" applyBorder="1" applyAlignment="1">
      <alignment horizontal="left" vertical="distributed" wrapText="1"/>
    </xf>
    <xf numFmtId="167" fontId="37" fillId="4" borderId="4" xfId="0" applyNumberFormat="1" applyFont="1" applyFill="1" applyBorder="1" applyAlignment="1">
      <alignment horizontal="left" vertical="distributed" wrapText="1"/>
    </xf>
    <xf numFmtId="167" fontId="37" fillId="4" borderId="3" xfId="0" applyNumberFormat="1" applyFont="1" applyFill="1" applyBorder="1" applyAlignment="1">
      <alignment vertical="center" wrapText="1"/>
    </xf>
    <xf numFmtId="167" fontId="37" fillId="4" borderId="3" xfId="0" applyNumberFormat="1" applyFont="1" applyFill="1" applyBorder="1" applyAlignment="1">
      <alignment horizontal="center" vertical="center" wrapText="1"/>
    </xf>
    <xf numFmtId="167" fontId="37" fillId="4" borderId="3" xfId="0" applyNumberFormat="1" applyFont="1" applyFill="1" applyBorder="1" applyAlignment="1">
      <alignment horizontal="left" vertical="distributed" wrapText="1"/>
    </xf>
    <xf numFmtId="49" fontId="16" fillId="4" borderId="3" xfId="0" applyNumberFormat="1" applyFont="1" applyFill="1" applyBorder="1" applyAlignment="1">
      <alignment horizontal="center" wrapText="1"/>
    </xf>
    <xf numFmtId="167" fontId="37" fillId="4" borderId="4" xfId="0" applyNumberFormat="1" applyFont="1" applyFill="1" applyBorder="1" applyAlignment="1">
      <alignment horizontal="left" vertical="distributed" wrapText="1"/>
    </xf>
    <xf numFmtId="49" fontId="16" fillId="4" borderId="3" xfId="0" applyNumberFormat="1" applyFont="1" applyFill="1" applyBorder="1" applyAlignment="1">
      <alignment horizontal="center" vertical="center" wrapText="1"/>
    </xf>
    <xf numFmtId="49" fontId="16" fillId="4" borderId="8" xfId="0" applyNumberFormat="1" applyFont="1" applyFill="1" applyBorder="1" applyAlignment="1">
      <alignment horizontal="center" vertical="center"/>
    </xf>
    <xf numFmtId="49" fontId="16" fillId="9" borderId="2" xfId="0" applyNumberFormat="1" applyFont="1" applyFill="1" applyBorder="1" applyAlignment="1">
      <alignment horizontal="center" vertical="center" wrapText="1"/>
    </xf>
    <xf numFmtId="49" fontId="16" fillId="9" borderId="5" xfId="0" applyNumberFormat="1" applyFont="1" applyFill="1" applyBorder="1" applyAlignment="1">
      <alignment horizontal="center" vertical="center" wrapText="1"/>
    </xf>
    <xf numFmtId="167" fontId="37" fillId="4" borderId="4" xfId="0" applyNumberFormat="1" applyFont="1" applyFill="1" applyBorder="1" applyAlignment="1">
      <alignment horizontal="center" vertical="distributed" wrapText="1"/>
    </xf>
    <xf numFmtId="49" fontId="18" fillId="3" borderId="2" xfId="0" applyNumberFormat="1" applyFont="1" applyFill="1" applyBorder="1" applyAlignment="1">
      <alignment horizontal="center" vertical="center" wrapText="1"/>
    </xf>
    <xf numFmtId="167" fontId="37" fillId="4" borderId="2" xfId="0" applyNumberFormat="1" applyFont="1" applyFill="1" applyBorder="1" applyAlignment="1">
      <alignment horizontal="left" vertical="distributed" wrapText="1"/>
    </xf>
    <xf numFmtId="49" fontId="37" fillId="4" borderId="2" xfId="0" applyNumberFormat="1" applyFont="1" applyFill="1" applyBorder="1" applyAlignment="1">
      <alignment wrapText="1"/>
    </xf>
    <xf numFmtId="0" fontId="18" fillId="4" borderId="5" xfId="0" applyFont="1" applyFill="1" applyBorder="1" applyAlignment="1">
      <alignment horizontal="center" vertical="center" wrapText="1"/>
    </xf>
    <xf numFmtId="0" fontId="18" fillId="4" borderId="4" xfId="0" applyFont="1" applyFill="1" applyBorder="1" applyAlignment="1">
      <alignment horizontal="center" vertical="center" wrapText="1"/>
    </xf>
    <xf numFmtId="49" fontId="37" fillId="4" borderId="3" xfId="0" applyNumberFormat="1" applyFont="1" applyFill="1" applyBorder="1" applyAlignment="1">
      <alignment horizontal="center" wrapText="1"/>
    </xf>
    <xf numFmtId="49" fontId="37" fillId="4" borderId="3" xfId="0" applyNumberFormat="1" applyFont="1" applyFill="1" applyBorder="1" applyAlignment="1">
      <alignment horizontal="center" vertical="center" wrapText="1"/>
    </xf>
    <xf numFmtId="49" fontId="37" fillId="4" borderId="5" xfId="0" applyNumberFormat="1" applyFont="1" applyFill="1" applyBorder="1" applyAlignment="1">
      <alignment horizontal="center" wrapText="1"/>
    </xf>
    <xf numFmtId="49" fontId="37" fillId="4" borderId="5" xfId="0" applyNumberFormat="1" applyFont="1" applyFill="1" applyBorder="1" applyAlignment="1">
      <alignment horizontal="center" vertical="center" wrapText="1"/>
    </xf>
    <xf numFmtId="49" fontId="16" fillId="4" borderId="3" xfId="0" applyNumberFormat="1" applyFont="1" applyFill="1" applyBorder="1" applyAlignment="1">
      <alignment horizontal="center" vertical="center"/>
    </xf>
    <xf numFmtId="165" fontId="16" fillId="4" borderId="3" xfId="0" applyNumberFormat="1" applyFont="1" applyFill="1" applyBorder="1" applyAlignment="1">
      <alignment horizontal="center" vertical="center" wrapText="1"/>
    </xf>
    <xf numFmtId="49" fontId="37" fillId="4" borderId="2" xfId="0" applyNumberFormat="1" applyFont="1" applyFill="1" applyBorder="1" applyAlignment="1">
      <alignment horizontal="center" vertical="center" wrapText="1"/>
    </xf>
    <xf numFmtId="167" fontId="37" fillId="4" borderId="3" xfId="3" applyNumberFormat="1" applyFont="1" applyFill="1" applyBorder="1" applyAlignment="1" applyProtection="1">
      <alignment horizontal="center" vertical="distributed" wrapText="1"/>
      <protection hidden="1"/>
    </xf>
    <xf numFmtId="0" fontId="37" fillId="4" borderId="2" xfId="3" applyFont="1" applyFill="1" applyBorder="1" applyAlignment="1" applyProtection="1">
      <alignment wrapText="1"/>
      <protection hidden="1"/>
    </xf>
    <xf numFmtId="14" fontId="37" fillId="4" borderId="3" xfId="3" applyNumberFormat="1" applyFont="1" applyFill="1" applyBorder="1" applyAlignment="1" applyProtection="1">
      <alignment horizontal="center" vertical="center" wrapText="1"/>
      <protection hidden="1"/>
    </xf>
    <xf numFmtId="167" fontId="37" fillId="4" borderId="4" xfId="3" applyNumberFormat="1" applyFont="1" applyFill="1" applyBorder="1" applyAlignment="1" applyProtection="1">
      <alignment horizontal="center" vertical="distributed" wrapText="1"/>
      <protection hidden="1"/>
    </xf>
    <xf numFmtId="0" fontId="16" fillId="4" borderId="2" xfId="3" applyFont="1" applyFill="1" applyBorder="1" applyAlignment="1" applyProtection="1">
      <alignment wrapText="1"/>
      <protection hidden="1"/>
    </xf>
    <xf numFmtId="14" fontId="37" fillId="4" borderId="4" xfId="3" applyNumberFormat="1" applyFont="1" applyFill="1" applyBorder="1" applyAlignment="1" applyProtection="1">
      <alignment horizontal="center" vertical="center" wrapText="1"/>
      <protection hidden="1"/>
    </xf>
    <xf numFmtId="167" fontId="37" fillId="4" borderId="4" xfId="3" applyNumberFormat="1" applyFont="1" applyFill="1" applyBorder="1" applyAlignment="1" applyProtection="1">
      <alignment horizontal="center" vertical="distributed" wrapText="1"/>
      <protection hidden="1"/>
    </xf>
    <xf numFmtId="14" fontId="37" fillId="4" borderId="4" xfId="3" applyNumberFormat="1" applyFont="1" applyFill="1" applyBorder="1" applyAlignment="1" applyProtection="1">
      <alignment horizontal="center" vertical="center" wrapText="1"/>
      <protection hidden="1"/>
    </xf>
    <xf numFmtId="49" fontId="18" fillId="4" borderId="2" xfId="0" applyNumberFormat="1" applyFont="1" applyFill="1" applyBorder="1" applyAlignment="1">
      <alignment horizontal="center" vertical="center" wrapText="1"/>
    </xf>
    <xf numFmtId="49" fontId="18" fillId="4" borderId="2" xfId="0" applyNumberFormat="1" applyFont="1" applyFill="1" applyBorder="1" applyAlignment="1">
      <alignment horizontal="center" vertical="center"/>
    </xf>
    <xf numFmtId="49" fontId="16" fillId="4" borderId="3" xfId="0" applyNumberFormat="1" applyFont="1" applyFill="1" applyBorder="1" applyAlignment="1">
      <alignment horizontal="center" wrapText="1"/>
    </xf>
    <xf numFmtId="167" fontId="37" fillId="4" borderId="4" xfId="0" applyNumberFormat="1" applyFont="1" applyFill="1" applyBorder="1" applyAlignment="1">
      <alignment horizontal="center" vertical="distributed" wrapText="1"/>
    </xf>
    <xf numFmtId="49" fontId="16" fillId="4" borderId="4" xfId="0" applyNumberFormat="1" applyFont="1" applyFill="1" applyBorder="1" applyAlignment="1">
      <alignment horizontal="center" wrapText="1"/>
    </xf>
    <xf numFmtId="49" fontId="37" fillId="4" borderId="4" xfId="0" applyNumberFormat="1" applyFont="1" applyFill="1" applyBorder="1" applyAlignment="1">
      <alignment horizontal="center" vertical="center" wrapText="1"/>
    </xf>
    <xf numFmtId="165" fontId="61" fillId="0" borderId="0" xfId="0" applyNumberFormat="1" applyFont="1"/>
    <xf numFmtId="49" fontId="16" fillId="4" borderId="4" xfId="0" applyNumberFormat="1" applyFont="1" applyFill="1" applyBorder="1" applyAlignment="1">
      <alignment horizontal="center" wrapText="1"/>
    </xf>
    <xf numFmtId="167" fontId="37" fillId="4" borderId="3" xfId="0" applyNumberFormat="1" applyFont="1" applyFill="1" applyBorder="1" applyAlignment="1">
      <alignment horizontal="center" vertical="distributed" wrapText="1"/>
    </xf>
    <xf numFmtId="49" fontId="16" fillId="4" borderId="5" xfId="0" applyNumberFormat="1" applyFont="1" applyFill="1" applyBorder="1" applyAlignment="1">
      <alignment horizontal="center" wrapText="1"/>
    </xf>
    <xf numFmtId="0" fontId="31" fillId="0" borderId="0" xfId="0" applyFont="1" applyAlignment="1">
      <alignment vertical="top" wrapText="1"/>
    </xf>
    <xf numFmtId="0" fontId="35" fillId="0" borderId="14" xfId="0" applyFont="1" applyBorder="1" applyAlignment="1">
      <alignment horizontal="center" vertical="top" wrapText="1"/>
    </xf>
    <xf numFmtId="0" fontId="35" fillId="0" borderId="13" xfId="0" applyFont="1" applyBorder="1" applyAlignment="1">
      <alignment horizontal="center" vertical="center" wrapText="1"/>
    </xf>
    <xf numFmtId="167" fontId="37" fillId="4" borderId="5" xfId="0" applyNumberFormat="1" applyFont="1" applyFill="1" applyBorder="1" applyAlignment="1">
      <alignment horizontal="left" vertical="distributed" wrapText="1"/>
    </xf>
    <xf numFmtId="49" fontId="37" fillId="4" borderId="5" xfId="0" applyNumberFormat="1" applyFont="1" applyFill="1" applyBorder="1" applyAlignment="1">
      <alignment horizontal="center" wrapText="1"/>
    </xf>
    <xf numFmtId="49" fontId="37" fillId="4" borderId="5" xfId="0" applyNumberFormat="1" applyFont="1" applyFill="1" applyBorder="1" applyAlignment="1">
      <alignment horizontal="center" vertical="center" wrapText="1"/>
    </xf>
    <xf numFmtId="0" fontId="17" fillId="0" borderId="3" xfId="0" applyFont="1" applyBorder="1" applyAlignment="1">
      <alignment horizontal="center" vertical="center" wrapText="1"/>
    </xf>
    <xf numFmtId="0" fontId="17" fillId="0" borderId="4" xfId="0" applyFont="1" applyBorder="1" applyAlignment="1">
      <alignment horizontal="center" vertical="center" wrapText="1"/>
    </xf>
    <xf numFmtId="167" fontId="37" fillId="0" borderId="2" xfId="0" applyNumberFormat="1" applyFont="1" applyBorder="1" applyAlignment="1">
      <alignment vertical="distributed" wrapText="1"/>
    </xf>
    <xf numFmtId="165" fontId="17" fillId="0" borderId="3" xfId="0" applyNumberFormat="1" applyFont="1" applyBorder="1" applyAlignment="1"/>
    <xf numFmtId="49" fontId="16" fillId="0" borderId="2" xfId="0" applyNumberFormat="1" applyFont="1" applyBorder="1" applyAlignment="1">
      <alignment horizontal="center" vertical="center" wrapText="1"/>
    </xf>
    <xf numFmtId="49" fontId="16" fillId="0" borderId="2" xfId="0" applyNumberFormat="1" applyFont="1" applyBorder="1" applyAlignment="1">
      <alignment horizontal="center" vertical="center"/>
    </xf>
    <xf numFmtId="165" fontId="16" fillId="0" borderId="2" xfId="0" applyNumberFormat="1" applyFont="1" applyBorder="1" applyAlignment="1">
      <alignment horizontal="center" vertical="center" wrapText="1"/>
    </xf>
    <xf numFmtId="167" fontId="37" fillId="0" borderId="2" xfId="0" applyNumberFormat="1" applyFont="1" applyBorder="1" applyAlignment="1">
      <alignment horizontal="center" vertical="distributed" wrapText="1"/>
    </xf>
    <xf numFmtId="165" fontId="17" fillId="0" borderId="4" xfId="0" applyNumberFormat="1" applyFont="1" applyBorder="1" applyAlignment="1"/>
    <xf numFmtId="0" fontId="18" fillId="4" borderId="5" xfId="0" applyFont="1" applyFill="1" applyBorder="1" applyAlignment="1">
      <alignment horizontal="center" vertical="center"/>
    </xf>
    <xf numFmtId="165" fontId="17" fillId="0" borderId="5" xfId="0" applyNumberFormat="1" applyFont="1" applyBorder="1" applyAlignment="1"/>
    <xf numFmtId="165" fontId="17" fillId="0" borderId="5" xfId="0" applyNumberFormat="1" applyFont="1" applyBorder="1" applyAlignment="1">
      <alignment horizontal="center"/>
    </xf>
    <xf numFmtId="167" fontId="37" fillId="0" borderId="3" xfId="0" applyNumberFormat="1" applyFont="1" applyBorder="1" applyAlignment="1">
      <alignment horizontal="center" vertical="distributed" wrapText="1"/>
    </xf>
    <xf numFmtId="167" fontId="37" fillId="0" borderId="4" xfId="0" applyNumberFormat="1" applyFont="1" applyBorder="1" applyAlignment="1">
      <alignment horizontal="center" vertical="distributed" wrapText="1"/>
    </xf>
    <xf numFmtId="167" fontId="37" fillId="0" borderId="5" xfId="0" applyNumberFormat="1" applyFont="1" applyBorder="1" applyAlignment="1">
      <alignment horizontal="center" vertical="distributed" wrapText="1"/>
    </xf>
    <xf numFmtId="167" fontId="37" fillId="0" borderId="3" xfId="0" applyNumberFormat="1" applyFont="1" applyBorder="1" applyAlignment="1">
      <alignment horizontal="left" vertical="distributed" wrapText="1"/>
    </xf>
    <xf numFmtId="167" fontId="37" fillId="0" borderId="4" xfId="0" applyNumberFormat="1" applyFont="1" applyBorder="1" applyAlignment="1">
      <alignment horizontal="left" vertical="distributed" wrapText="1"/>
    </xf>
    <xf numFmtId="0" fontId="17" fillId="0" borderId="5" xfId="0" applyFont="1" applyBorder="1" applyAlignment="1">
      <alignment horizontal="center" vertical="center" wrapText="1"/>
    </xf>
    <xf numFmtId="167" fontId="37" fillId="0" borderId="5" xfId="0" applyNumberFormat="1" applyFont="1" applyBorder="1" applyAlignment="1">
      <alignment horizontal="left" vertical="distributed" wrapText="1"/>
    </xf>
    <xf numFmtId="0" fontId="61" fillId="0" borderId="2" xfId="0" applyFont="1" applyBorder="1" applyAlignment="1">
      <alignment horizontal="center"/>
    </xf>
    <xf numFmtId="0" fontId="17" fillId="0" borderId="2" xfId="0" applyFont="1" applyBorder="1" applyAlignment="1">
      <alignment horizontal="center" vertical="center" wrapText="1"/>
    </xf>
    <xf numFmtId="167" fontId="37" fillId="0" borderId="3" xfId="0" applyNumberFormat="1" applyFont="1" applyBorder="1" applyAlignment="1">
      <alignment vertical="distributed" wrapText="1"/>
    </xf>
    <xf numFmtId="165" fontId="17" fillId="0" borderId="2" xfId="0" applyNumberFormat="1" applyFont="1" applyBorder="1" applyAlignment="1">
      <alignment horizontal="center"/>
    </xf>
    <xf numFmtId="165" fontId="17" fillId="0" borderId="2" xfId="0" applyNumberFormat="1" applyFont="1" applyBorder="1"/>
    <xf numFmtId="165" fontId="18" fillId="4" borderId="2" xfId="0" applyNumberFormat="1" applyFont="1" applyFill="1" applyBorder="1" applyAlignment="1">
      <alignment horizontal="center" vertical="center"/>
    </xf>
    <xf numFmtId="167" fontId="35" fillId="0" borderId="2" xfId="0" applyNumberFormat="1" applyFont="1" applyFill="1" applyBorder="1" applyAlignment="1">
      <alignment horizontal="center" vertical="distributed"/>
    </xf>
    <xf numFmtId="49" fontId="18" fillId="0" borderId="2" xfId="0" applyNumberFormat="1" applyFont="1" applyFill="1" applyBorder="1" applyAlignment="1">
      <alignment horizontal="center" vertical="center"/>
    </xf>
    <xf numFmtId="165" fontId="18" fillId="0" borderId="2" xfId="0" applyNumberFormat="1" applyFont="1" applyFill="1" applyBorder="1" applyAlignment="1">
      <alignment horizontal="center" vertical="center"/>
    </xf>
    <xf numFmtId="167" fontId="37" fillId="0" borderId="5" xfId="0" applyNumberFormat="1" applyFont="1" applyFill="1" applyBorder="1" applyAlignment="1">
      <alignment vertical="center" wrapText="1"/>
    </xf>
    <xf numFmtId="49" fontId="16" fillId="0" borderId="5" xfId="0" applyNumberFormat="1" applyFont="1" applyFill="1" applyBorder="1" applyAlignment="1">
      <alignment horizontal="center" wrapText="1"/>
    </xf>
    <xf numFmtId="49" fontId="16" fillId="0" borderId="5" xfId="0" applyNumberFormat="1" applyFont="1" applyFill="1" applyBorder="1" applyAlignment="1">
      <alignment horizontal="center" vertical="center" wrapText="1"/>
    </xf>
    <xf numFmtId="49" fontId="18" fillId="0" borderId="2" xfId="0" applyNumberFormat="1" applyFont="1" applyFill="1" applyBorder="1" applyAlignment="1">
      <alignment horizontal="center" vertical="center" wrapText="1"/>
    </xf>
    <xf numFmtId="49" fontId="16" fillId="0" borderId="2" xfId="0" applyNumberFormat="1" applyFont="1" applyFill="1" applyBorder="1" applyAlignment="1">
      <alignment horizontal="center" vertical="center" wrapText="1"/>
    </xf>
    <xf numFmtId="165" fontId="18" fillId="0" borderId="2" xfId="0" applyNumberFormat="1" applyFont="1" applyFill="1" applyBorder="1" applyAlignment="1">
      <alignment horizontal="center" vertical="center" wrapText="1"/>
    </xf>
    <xf numFmtId="167" fontId="36" fillId="0" borderId="2" xfId="0" applyNumberFormat="1" applyFont="1" applyFill="1" applyBorder="1" applyAlignment="1">
      <alignment horizontal="center" vertical="distributed" wrapText="1"/>
    </xf>
    <xf numFmtId="49" fontId="36" fillId="0" borderId="2" xfId="0" applyNumberFormat="1" applyFont="1" applyFill="1" applyBorder="1" applyAlignment="1">
      <alignment wrapText="1"/>
    </xf>
    <xf numFmtId="49" fontId="36" fillId="0" borderId="3" xfId="0" applyNumberFormat="1" applyFont="1" applyFill="1" applyBorder="1" applyAlignment="1">
      <alignment wrapText="1"/>
    </xf>
    <xf numFmtId="49" fontId="16" fillId="0" borderId="2" xfId="0" applyNumberFormat="1" applyFont="1" applyFill="1" applyBorder="1" applyAlignment="1">
      <alignment horizontal="center" vertical="center"/>
    </xf>
    <xf numFmtId="167" fontId="37" fillId="0" borderId="2" xfId="0" applyNumberFormat="1" applyFont="1" applyFill="1" applyBorder="1" applyAlignment="1">
      <alignment horizontal="center" vertical="distributed" wrapText="1"/>
    </xf>
    <xf numFmtId="49" fontId="37" fillId="0" borderId="2" xfId="0" applyNumberFormat="1" applyFont="1" applyFill="1" applyBorder="1" applyAlignment="1">
      <alignment wrapText="1"/>
    </xf>
    <xf numFmtId="49" fontId="37" fillId="0" borderId="3" xfId="0" applyNumberFormat="1" applyFont="1" applyFill="1" applyBorder="1" applyAlignment="1">
      <alignment horizontal="center" vertical="center" wrapText="1"/>
    </xf>
    <xf numFmtId="165" fontId="16" fillId="0" borderId="2" xfId="0" applyNumberFormat="1" applyFont="1" applyFill="1" applyBorder="1" applyAlignment="1">
      <alignment horizontal="center" vertical="center" wrapText="1"/>
    </xf>
    <xf numFmtId="167" fontId="37" fillId="0" borderId="3" xfId="0" applyNumberFormat="1" applyFont="1" applyFill="1" applyBorder="1" applyAlignment="1">
      <alignment horizontal="center" vertical="distributed" wrapText="1"/>
    </xf>
    <xf numFmtId="167" fontId="37" fillId="0" borderId="5" xfId="0" applyNumberFormat="1" applyFont="1" applyFill="1" applyBorder="1" applyAlignment="1">
      <alignment horizontal="center" vertical="distributed" wrapText="1"/>
    </xf>
    <xf numFmtId="167" fontId="47" fillId="0" borderId="2" xfId="0" applyNumberFormat="1" applyFont="1" applyFill="1" applyBorder="1" applyAlignment="1">
      <alignment horizontal="center" vertical="center" wrapText="1"/>
    </xf>
    <xf numFmtId="49" fontId="50" fillId="0" borderId="2" xfId="0" applyNumberFormat="1" applyFont="1" applyFill="1" applyBorder="1" applyAlignment="1">
      <alignment horizontal="center" vertical="center" wrapText="1"/>
    </xf>
    <xf numFmtId="0" fontId="47" fillId="0" borderId="2" xfId="3" applyFont="1" applyFill="1" applyBorder="1" applyAlignment="1" applyProtection="1">
      <alignment horizontal="center" vertical="center" wrapText="1"/>
      <protection hidden="1"/>
    </xf>
    <xf numFmtId="49" fontId="37" fillId="0" borderId="3" xfId="0" applyNumberFormat="1" applyFont="1" applyFill="1" applyBorder="1" applyAlignment="1">
      <alignment horizontal="center" wrapText="1"/>
    </xf>
    <xf numFmtId="49" fontId="37" fillId="0" borderId="3" xfId="0" applyNumberFormat="1" applyFont="1" applyFill="1" applyBorder="1" applyAlignment="1">
      <alignment horizontal="center" vertical="center" wrapText="1"/>
    </xf>
    <xf numFmtId="49" fontId="37" fillId="0" borderId="5" xfId="0" applyNumberFormat="1" applyFont="1" applyFill="1" applyBorder="1" applyAlignment="1">
      <alignment horizontal="center" wrapText="1"/>
    </xf>
    <xf numFmtId="49" fontId="37" fillId="0" borderId="5" xfId="0" applyNumberFormat="1" applyFont="1" applyFill="1" applyBorder="1" applyAlignment="1">
      <alignment horizontal="center" vertical="center" wrapText="1"/>
    </xf>
    <xf numFmtId="49" fontId="16" fillId="0" borderId="3" xfId="0" applyNumberFormat="1" applyFont="1" applyFill="1" applyBorder="1" applyAlignment="1">
      <alignment horizontal="center" vertical="center" wrapText="1"/>
    </xf>
    <xf numFmtId="49" fontId="16" fillId="0" borderId="3" xfId="0" applyNumberFormat="1" applyFont="1" applyFill="1" applyBorder="1" applyAlignment="1">
      <alignment horizontal="center" vertical="center"/>
    </xf>
    <xf numFmtId="165" fontId="16" fillId="0" borderId="3" xfId="0" applyNumberFormat="1" applyFont="1" applyFill="1" applyBorder="1" applyAlignment="1">
      <alignment horizontal="center" vertical="center" wrapText="1"/>
    </xf>
    <xf numFmtId="49" fontId="50" fillId="0" borderId="2" xfId="0" applyNumberFormat="1" applyFont="1" applyFill="1" applyBorder="1" applyAlignment="1">
      <alignment wrapText="1"/>
    </xf>
    <xf numFmtId="167" fontId="16" fillId="0" borderId="2" xfId="0" applyNumberFormat="1" applyFont="1" applyFill="1" applyBorder="1" applyAlignment="1">
      <alignment horizontal="center" vertical="distributed" wrapText="1"/>
    </xf>
    <xf numFmtId="49" fontId="16" fillId="0" borderId="2" xfId="0" applyNumberFormat="1" applyFont="1" applyFill="1" applyBorder="1" applyAlignment="1">
      <alignment wrapText="1"/>
    </xf>
    <xf numFmtId="167" fontId="37" fillId="0" borderId="3" xfId="0" applyNumberFormat="1" applyFont="1" applyFill="1" applyBorder="1" applyAlignment="1">
      <alignment vertical="center" wrapText="1"/>
    </xf>
    <xf numFmtId="49" fontId="16" fillId="0" borderId="3" xfId="0" applyNumberFormat="1" applyFont="1" applyFill="1" applyBorder="1" applyAlignment="1">
      <alignment wrapText="1"/>
    </xf>
    <xf numFmtId="49" fontId="37" fillId="0" borderId="4" xfId="0" applyNumberFormat="1" applyFont="1" applyFill="1" applyBorder="1" applyAlignment="1">
      <alignment horizontal="center" vertical="center" wrapText="1"/>
    </xf>
    <xf numFmtId="49" fontId="37" fillId="0" borderId="4" xfId="0" applyNumberFormat="1" applyFont="1" applyFill="1" applyBorder="1" applyAlignment="1">
      <alignment horizontal="center" vertical="center" wrapText="1"/>
    </xf>
    <xf numFmtId="49" fontId="16" fillId="0" borderId="4" xfId="0" applyNumberFormat="1" applyFont="1" applyFill="1" applyBorder="1" applyAlignment="1">
      <alignment horizontal="center" vertical="center" wrapText="1"/>
    </xf>
    <xf numFmtId="165" fontId="17" fillId="0" borderId="2" xfId="0" applyNumberFormat="1" applyFont="1" applyFill="1" applyBorder="1" applyAlignment="1">
      <alignment vertical="justify"/>
    </xf>
    <xf numFmtId="165" fontId="17" fillId="0" borderId="2" xfId="0" applyNumberFormat="1" applyFont="1" applyFill="1" applyBorder="1"/>
    <xf numFmtId="3" fontId="18" fillId="0" borderId="2" xfId="0" applyNumberFormat="1" applyFont="1" applyFill="1" applyBorder="1" applyAlignment="1">
      <alignment horizontal="center" vertical="center"/>
    </xf>
    <xf numFmtId="167" fontId="37" fillId="0" borderId="3" xfId="0" applyNumberFormat="1" applyFont="1" applyFill="1" applyBorder="1" applyAlignment="1">
      <alignment horizontal="left" vertical="distributed" wrapText="1"/>
    </xf>
    <xf numFmtId="167" fontId="37" fillId="0" borderId="5" xfId="0" applyNumberFormat="1" applyFont="1" applyFill="1" applyBorder="1" applyAlignment="1">
      <alignment horizontal="left" vertical="distributed" wrapText="1"/>
    </xf>
    <xf numFmtId="0" fontId="16" fillId="0" borderId="2" xfId="0" applyFont="1" applyFill="1" applyBorder="1" applyAlignment="1">
      <alignment wrapText="1"/>
    </xf>
    <xf numFmtId="49" fontId="37" fillId="0" borderId="2" xfId="0" applyNumberFormat="1" applyFont="1" applyFill="1" applyBorder="1" applyAlignment="1">
      <alignment horizontal="center" vertical="center" wrapText="1"/>
    </xf>
    <xf numFmtId="167" fontId="16" fillId="0" borderId="5" xfId="0" applyNumberFormat="1" applyFont="1" applyFill="1" applyBorder="1" applyAlignment="1">
      <alignment horizontal="center" vertical="distributed" wrapText="1"/>
    </xf>
    <xf numFmtId="49" fontId="16" fillId="0" borderId="5" xfId="0" applyNumberFormat="1" applyFont="1" applyFill="1" applyBorder="1" applyAlignment="1">
      <alignment wrapText="1"/>
    </xf>
    <xf numFmtId="49" fontId="16" fillId="0" borderId="5" xfId="0" applyNumberFormat="1" applyFont="1" applyFill="1" applyBorder="1" applyAlignment="1">
      <alignment horizontal="center" vertical="center"/>
    </xf>
    <xf numFmtId="165" fontId="18" fillId="0" borderId="5" xfId="0" applyNumberFormat="1" applyFont="1" applyFill="1" applyBorder="1" applyAlignment="1">
      <alignment horizontal="center" vertical="center" wrapText="1"/>
    </xf>
    <xf numFmtId="165" fontId="35" fillId="0" borderId="5" xfId="0" applyNumberFormat="1" applyFont="1" applyFill="1" applyBorder="1" applyAlignment="1">
      <alignment horizontal="center" vertical="center" wrapText="1"/>
    </xf>
    <xf numFmtId="165" fontId="36" fillId="0" borderId="2" xfId="0" applyNumberFormat="1" applyFont="1" applyFill="1" applyBorder="1" applyAlignment="1">
      <alignment horizontal="center" vertical="center" wrapText="1"/>
    </xf>
    <xf numFmtId="167" fontId="47" fillId="0" borderId="2" xfId="0" applyNumberFormat="1" applyFont="1" applyFill="1" applyBorder="1" applyAlignment="1">
      <alignment horizontal="center" vertical="distributed" wrapText="1"/>
    </xf>
    <xf numFmtId="49" fontId="47" fillId="0" borderId="2" xfId="0" applyNumberFormat="1" applyFont="1" applyFill="1" applyBorder="1" applyAlignment="1">
      <alignment wrapText="1"/>
    </xf>
    <xf numFmtId="165" fontId="16" fillId="0" borderId="2" xfId="0" applyNumberFormat="1" applyFont="1" applyFill="1" applyBorder="1" applyAlignment="1">
      <alignment horizontal="center" vertical="center"/>
    </xf>
    <xf numFmtId="0" fontId="27" fillId="8" borderId="8" xfId="0" applyFont="1" applyFill="1" applyBorder="1" applyAlignment="1">
      <alignment vertical="center"/>
    </xf>
    <xf numFmtId="0" fontId="27" fillId="8" borderId="7" xfId="0" applyFont="1" applyFill="1" applyBorder="1" applyAlignment="1">
      <alignment vertical="center"/>
    </xf>
    <xf numFmtId="0" fontId="27" fillId="8" borderId="6" xfId="0" applyFont="1" applyFill="1" applyBorder="1" applyAlignment="1">
      <alignment horizontal="center" vertical="center" wrapText="1"/>
    </xf>
    <xf numFmtId="0" fontId="56" fillId="0" borderId="3" xfId="0" applyFont="1" applyFill="1" applyBorder="1" applyAlignment="1">
      <alignment horizontal="left" vertical="top" wrapText="1"/>
    </xf>
    <xf numFmtId="0" fontId="1" fillId="0" borderId="2" xfId="0" applyFont="1" applyFill="1" applyBorder="1" applyAlignment="1">
      <alignment horizontal="center" wrapText="1"/>
    </xf>
    <xf numFmtId="49" fontId="1" fillId="0" borderId="2" xfId="0" applyNumberFormat="1" applyFont="1" applyFill="1" applyBorder="1" applyAlignment="1">
      <alignment horizontal="center" wrapText="1"/>
    </xf>
    <xf numFmtId="4" fontId="1" fillId="0" borderId="2" xfId="0" applyNumberFormat="1" applyFont="1" applyFill="1" applyBorder="1" applyAlignment="1">
      <alignment horizontal="right"/>
    </xf>
    <xf numFmtId="4" fontId="1" fillId="0" borderId="2" xfId="4" applyNumberFormat="1" applyFont="1" applyFill="1" applyBorder="1" applyAlignment="1">
      <alignment horizontal="right" wrapText="1"/>
    </xf>
    <xf numFmtId="0" fontId="56" fillId="0" borderId="5" xfId="0" applyFont="1" applyFill="1" applyBorder="1" applyAlignment="1">
      <alignment horizontal="left" vertical="top" wrapText="1"/>
    </xf>
    <xf numFmtId="0" fontId="27" fillId="0" borderId="2" xfId="0" applyFont="1" applyFill="1" applyBorder="1" applyAlignment="1">
      <alignment horizontal="left" vertical="justify"/>
    </xf>
    <xf numFmtId="0" fontId="18" fillId="0" borderId="2" xfId="0" applyFont="1" applyFill="1" applyBorder="1" applyAlignment="1">
      <alignment horizontal="center" vertical="justify"/>
    </xf>
    <xf numFmtId="0" fontId="16" fillId="0" borderId="2" xfId="0" applyFont="1" applyFill="1" applyBorder="1" applyAlignment="1">
      <alignment horizontal="center" vertical="justify"/>
    </xf>
    <xf numFmtId="0" fontId="16" fillId="0" borderId="2" xfId="0" applyFont="1" applyFill="1" applyBorder="1" applyAlignment="1">
      <alignment horizontal="center"/>
    </xf>
    <xf numFmtId="49" fontId="27" fillId="0" borderId="2" xfId="0" applyNumberFormat="1" applyFont="1" applyFill="1" applyBorder="1" applyAlignment="1">
      <alignment horizontal="left" wrapText="1"/>
    </xf>
    <xf numFmtId="4" fontId="27" fillId="0" borderId="2" xfId="0" applyNumberFormat="1" applyFont="1" applyFill="1" applyBorder="1" applyAlignment="1">
      <alignment horizontal="right" wrapText="1"/>
    </xf>
    <xf numFmtId="9" fontId="27" fillId="0" borderId="2" xfId="4" applyFont="1" applyFill="1" applyBorder="1" applyAlignment="1">
      <alignment horizontal="center" wrapText="1"/>
    </xf>
    <xf numFmtId="0" fontId="17" fillId="8" borderId="8" xfId="0" applyFont="1" applyFill="1" applyBorder="1" applyAlignment="1">
      <alignment horizontal="center" vertical="center" wrapText="1"/>
    </xf>
    <xf numFmtId="0" fontId="17" fillId="8" borderId="6" xfId="0" applyFont="1" applyFill="1" applyBorder="1" applyAlignment="1">
      <alignment horizontal="center" vertical="center" wrapText="1"/>
    </xf>
    <xf numFmtId="0" fontId="17" fillId="8" borderId="7" xfId="0" applyFont="1" applyFill="1" applyBorder="1" applyAlignment="1">
      <alignment horizontal="center" vertical="center" wrapText="1"/>
    </xf>
    <xf numFmtId="0" fontId="17" fillId="10" borderId="15" xfId="0" applyFont="1" applyFill="1" applyBorder="1" applyAlignment="1">
      <alignment horizontal="center"/>
    </xf>
    <xf numFmtId="165" fontId="17" fillId="10" borderId="19" xfId="0" applyNumberFormat="1" applyFont="1" applyFill="1" applyBorder="1" applyAlignment="1">
      <alignment horizontal="right" vertical="top" wrapText="1"/>
    </xf>
    <xf numFmtId="165" fontId="17" fillId="10" borderId="20" xfId="0" applyNumberFormat="1" applyFont="1" applyFill="1" applyBorder="1" applyAlignment="1">
      <alignment horizontal="right" vertical="top" wrapText="1"/>
    </xf>
    <xf numFmtId="0" fontId="27" fillId="0" borderId="4" xfId="0" applyFont="1" applyBorder="1" applyAlignment="1">
      <alignment horizontal="center" wrapText="1"/>
    </xf>
    <xf numFmtId="0" fontId="62" fillId="0" borderId="4" xfId="0" applyFont="1" applyBorder="1" applyAlignment="1"/>
    <xf numFmtId="1" fontId="17" fillId="0" borderId="21" xfId="4" applyNumberFormat="1" applyFont="1" applyFill="1" applyBorder="1" applyAlignment="1">
      <alignment horizontal="center" wrapText="1"/>
    </xf>
    <xf numFmtId="9" fontId="27" fillId="0" borderId="19" xfId="4" applyFont="1" applyFill="1" applyBorder="1" applyAlignment="1">
      <alignment horizontal="center" wrapText="1"/>
    </xf>
    <xf numFmtId="9" fontId="19" fillId="0" borderId="16" xfId="4" applyFont="1" applyFill="1" applyBorder="1" applyAlignment="1">
      <alignment horizontal="center" wrapText="1"/>
    </xf>
    <xf numFmtId="9" fontId="19" fillId="0" borderId="19" xfId="4" applyFont="1" applyFill="1" applyBorder="1" applyAlignment="1">
      <alignment horizontal="center" wrapText="1"/>
    </xf>
    <xf numFmtId="165" fontId="17" fillId="4" borderId="19" xfId="4" applyNumberFormat="1" applyFont="1" applyFill="1" applyBorder="1" applyAlignment="1">
      <alignment horizontal="right" wrapText="1"/>
    </xf>
    <xf numFmtId="165" fontId="17" fillId="0" borderId="19" xfId="4" applyNumberFormat="1" applyFont="1" applyFill="1" applyBorder="1" applyAlignment="1">
      <alignment horizontal="right" wrapText="1"/>
    </xf>
    <xf numFmtId="165" fontId="17" fillId="0" borderId="20" xfId="4" applyNumberFormat="1" applyFont="1" applyFill="1" applyBorder="1" applyAlignment="1">
      <alignment horizontal="right" wrapText="1"/>
    </xf>
    <xf numFmtId="9" fontId="63" fillId="0" borderId="0" xfId="4" applyFont="1"/>
    <xf numFmtId="49" fontId="0" fillId="0" borderId="4" xfId="0" applyNumberFormat="1" applyFill="1" applyBorder="1" applyAlignment="1">
      <alignment horizontal="center" vertical="center" wrapText="1"/>
    </xf>
    <xf numFmtId="0" fontId="16" fillId="4" borderId="5" xfId="0" applyFont="1" applyFill="1" applyBorder="1" applyAlignment="1">
      <alignment horizontal="left" vertical="center" wrapText="1"/>
    </xf>
    <xf numFmtId="9" fontId="19" fillId="0" borderId="5" xfId="4" applyFont="1" applyBorder="1" applyAlignment="1">
      <alignment wrapText="1"/>
    </xf>
    <xf numFmtId="1" fontId="1" fillId="0" borderId="5" xfId="4" applyNumberFormat="1" applyFont="1" applyBorder="1" applyAlignment="1">
      <alignment horizontal="center" wrapText="1"/>
    </xf>
    <xf numFmtId="49" fontId="16" fillId="0" borderId="5" xfId="0" applyNumberFormat="1" applyFont="1" applyFill="1" applyBorder="1" applyAlignment="1">
      <alignment horizontal="center"/>
    </xf>
    <xf numFmtId="4" fontId="18" fillId="4" borderId="5" xfId="4" applyNumberFormat="1" applyFont="1" applyFill="1" applyBorder="1" applyAlignment="1">
      <alignment horizontal="center" vertical="center" wrapText="1"/>
    </xf>
    <xf numFmtId="165" fontId="18" fillId="4" borderId="5" xfId="4" applyNumberFormat="1" applyFont="1" applyFill="1" applyBorder="1" applyAlignment="1">
      <alignment horizontal="center" vertical="center" wrapText="1"/>
    </xf>
    <xf numFmtId="0" fontId="16" fillId="4" borderId="3" xfId="0" applyFont="1" applyFill="1" applyBorder="1" applyAlignment="1">
      <alignment horizontal="left" vertical="center" wrapText="1"/>
    </xf>
    <xf numFmtId="9" fontId="19" fillId="0" borderId="2" xfId="4" applyFont="1" applyBorder="1" applyAlignment="1">
      <alignment horizontal="center" wrapText="1"/>
    </xf>
    <xf numFmtId="49" fontId="16" fillId="0" borderId="2" xfId="0" applyNumberFormat="1" applyFont="1" applyFill="1" applyBorder="1" applyAlignment="1">
      <alignment horizontal="center"/>
    </xf>
    <xf numFmtId="4" fontId="18" fillId="4" borderId="2" xfId="0" applyNumberFormat="1" applyFont="1" applyFill="1" applyBorder="1" applyAlignment="1">
      <alignment horizontal="center" vertical="center"/>
    </xf>
    <xf numFmtId="0" fontId="16" fillId="0" borderId="2" xfId="0" applyFont="1" applyFill="1" applyBorder="1" applyAlignment="1">
      <alignment horizontal="left" vertical="center" wrapText="1"/>
    </xf>
    <xf numFmtId="4" fontId="16" fillId="4" borderId="2" xfId="4" applyNumberFormat="1" applyFont="1" applyFill="1" applyBorder="1" applyAlignment="1">
      <alignment horizontal="center" vertical="center" wrapText="1"/>
    </xf>
    <xf numFmtId="165" fontId="16" fillId="4" borderId="2" xfId="4" applyNumberFormat="1" applyFont="1" applyFill="1" applyBorder="1" applyAlignment="1">
      <alignment horizontal="center" vertical="center" wrapText="1"/>
    </xf>
    <xf numFmtId="0" fontId="16" fillId="4" borderId="13" xfId="0" applyFont="1" applyFill="1" applyBorder="1" applyAlignment="1">
      <alignment horizontal="left" vertical="center" wrapText="1"/>
    </xf>
    <xf numFmtId="0" fontId="0" fillId="4" borderId="5" xfId="0" applyFont="1" applyFill="1" applyBorder="1" applyAlignment="1">
      <alignment horizontal="center" wrapText="1"/>
    </xf>
    <xf numFmtId="0" fontId="1" fillId="4" borderId="5" xfId="0" applyFont="1" applyFill="1" applyBorder="1" applyAlignment="1">
      <alignment horizontal="center" wrapText="1"/>
    </xf>
    <xf numFmtId="49" fontId="1" fillId="4" borderId="5" xfId="0" applyNumberFormat="1" applyFont="1" applyFill="1" applyBorder="1" applyAlignment="1">
      <alignment horizontal="center" wrapText="1"/>
    </xf>
    <xf numFmtId="49" fontId="16" fillId="4" borderId="2" xfId="0" applyNumberFormat="1" applyFont="1" applyFill="1" applyBorder="1" applyAlignment="1">
      <alignment horizontal="center"/>
    </xf>
    <xf numFmtId="165" fontId="16" fillId="4" borderId="2" xfId="0" applyNumberFormat="1" applyFont="1" applyFill="1" applyBorder="1" applyAlignment="1">
      <alignment horizontal="center" vertical="center"/>
    </xf>
    <xf numFmtId="0" fontId="18" fillId="4" borderId="2" xfId="0" applyFont="1" applyFill="1" applyBorder="1" applyAlignment="1">
      <alignment horizontal="left" vertical="center" wrapText="1"/>
    </xf>
    <xf numFmtId="4" fontId="16" fillId="4" borderId="2" xfId="0" applyNumberFormat="1" applyFont="1" applyFill="1" applyBorder="1" applyAlignment="1">
      <alignment horizontal="center" vertical="center"/>
    </xf>
    <xf numFmtId="0" fontId="16" fillId="0" borderId="2" xfId="0" applyFont="1" applyBorder="1" applyAlignment="1">
      <alignment horizontal="left" vertical="justify"/>
    </xf>
    <xf numFmtId="0" fontId="0" fillId="4" borderId="2" xfId="0" applyFont="1" applyFill="1" applyBorder="1" applyAlignment="1">
      <alignment wrapText="1"/>
    </xf>
    <xf numFmtId="0" fontId="1" fillId="4" borderId="2" xfId="0" applyFont="1" applyFill="1" applyBorder="1" applyAlignment="1">
      <alignment vertical="center" wrapText="1"/>
    </xf>
    <xf numFmtId="49" fontId="1" fillId="4" borderId="2" xfId="0" applyNumberFormat="1" applyFont="1" applyFill="1" applyBorder="1" applyAlignment="1">
      <alignment vertical="center" wrapText="1"/>
    </xf>
    <xf numFmtId="0" fontId="16" fillId="4" borderId="3" xfId="0" applyFont="1" applyFill="1" applyBorder="1" applyAlignment="1">
      <alignment horizontal="center" vertical="center" wrapText="1"/>
    </xf>
    <xf numFmtId="0" fontId="0" fillId="4" borderId="3" xfId="0" applyFont="1" applyFill="1" applyBorder="1" applyAlignment="1">
      <alignment horizontal="center" wrapText="1"/>
    </xf>
    <xf numFmtId="0" fontId="1" fillId="4" borderId="3" xfId="0" applyFont="1" applyFill="1" applyBorder="1" applyAlignment="1">
      <alignment horizontal="center" vertical="center" wrapText="1"/>
    </xf>
    <xf numFmtId="49" fontId="1" fillId="4" borderId="3" xfId="0" applyNumberFormat="1" applyFont="1" applyFill="1" applyBorder="1" applyAlignment="1">
      <alignment horizontal="center" vertical="center" wrapText="1"/>
    </xf>
    <xf numFmtId="0" fontId="16" fillId="4" borderId="5" xfId="0" applyFont="1" applyFill="1" applyBorder="1" applyAlignment="1">
      <alignment horizontal="center" vertical="center" wrapText="1"/>
    </xf>
    <xf numFmtId="0" fontId="0" fillId="4" borderId="5" xfId="0" applyFont="1" applyFill="1" applyBorder="1" applyAlignment="1">
      <alignment horizontal="center" wrapText="1"/>
    </xf>
    <xf numFmtId="0" fontId="1" fillId="4" borderId="5" xfId="0" applyFont="1" applyFill="1" applyBorder="1" applyAlignment="1">
      <alignment horizontal="center" vertical="center" wrapText="1"/>
    </xf>
    <xf numFmtId="49" fontId="1" fillId="4" borderId="5" xfId="0" applyNumberFormat="1" applyFont="1" applyFill="1" applyBorder="1" applyAlignment="1">
      <alignment horizontal="center" vertical="center" wrapText="1"/>
    </xf>
    <xf numFmtId="0" fontId="16" fillId="4" borderId="7" xfId="0" applyFont="1" applyFill="1" applyBorder="1" applyAlignment="1">
      <alignment horizontal="left" vertical="center" wrapText="1"/>
    </xf>
    <xf numFmtId="0" fontId="4" fillId="0" borderId="0" xfId="0" applyNumberFormat="1" applyFont="1"/>
    <xf numFmtId="0" fontId="1" fillId="4" borderId="5" xfId="0" applyFont="1" applyFill="1" applyBorder="1" applyAlignment="1">
      <alignment horizontal="center" vertical="top" wrapText="1"/>
    </xf>
    <xf numFmtId="49" fontId="65" fillId="4" borderId="2" xfId="0" applyNumberFormat="1" applyFont="1" applyFill="1" applyBorder="1" applyAlignment="1">
      <alignment vertical="center" wrapText="1"/>
    </xf>
    <xf numFmtId="0" fontId="16" fillId="4" borderId="4" xfId="0" applyFont="1" applyFill="1" applyBorder="1" applyAlignment="1">
      <alignment horizontal="center" vertical="center" wrapText="1"/>
    </xf>
    <xf numFmtId="0" fontId="16" fillId="4" borderId="3" xfId="0" applyFont="1" applyFill="1" applyBorder="1" applyAlignment="1">
      <alignment horizontal="center" wrapText="1"/>
    </xf>
    <xf numFmtId="0" fontId="1" fillId="4" borderId="3" xfId="0" applyFont="1" applyFill="1" applyBorder="1" applyAlignment="1">
      <alignment horizontal="center" vertical="top" wrapText="1"/>
    </xf>
    <xf numFmtId="165" fontId="4" fillId="0" borderId="0" xfId="0" applyNumberFormat="1" applyFont="1"/>
    <xf numFmtId="0" fontId="16" fillId="4" borderId="5" xfId="0" applyFont="1" applyFill="1" applyBorder="1" applyAlignment="1">
      <alignment horizontal="center" wrapText="1"/>
    </xf>
    <xf numFmtId="0" fontId="1" fillId="4" borderId="5" xfId="0" applyFont="1" applyFill="1" applyBorder="1" applyAlignment="1">
      <alignment horizontal="center" vertical="top" wrapText="1"/>
    </xf>
    <xf numFmtId="0" fontId="16" fillId="4" borderId="5" xfId="0" applyFont="1" applyFill="1" applyBorder="1" applyAlignment="1">
      <alignment horizontal="center" wrapText="1"/>
    </xf>
    <xf numFmtId="49" fontId="0" fillId="0" borderId="5" xfId="0" applyNumberFormat="1" applyFill="1" applyBorder="1" applyAlignment="1">
      <alignment horizontal="center" vertical="center" wrapText="1"/>
    </xf>
    <xf numFmtId="49" fontId="65" fillId="0" borderId="5" xfId="0" applyNumberFormat="1" applyFont="1" applyFill="1" applyBorder="1" applyAlignment="1">
      <alignment horizontal="left" vertical="center" wrapText="1"/>
    </xf>
    <xf numFmtId="49" fontId="65" fillId="0" borderId="5" xfId="0" applyNumberFormat="1" applyFont="1" applyBorder="1"/>
    <xf numFmtId="49" fontId="0" fillId="0" borderId="4" xfId="0" applyNumberFormat="1" applyFill="1" applyBorder="1" applyAlignment="1">
      <alignment horizontal="center" vertical="center" wrapText="1"/>
    </xf>
    <xf numFmtId="49" fontId="65" fillId="0" borderId="4" xfId="0" applyNumberFormat="1" applyFont="1" applyFill="1" applyBorder="1" applyAlignment="1">
      <alignment horizontal="left" vertical="center" wrapText="1"/>
    </xf>
    <xf numFmtId="49" fontId="65" fillId="0" borderId="2" xfId="0" applyNumberFormat="1" applyFont="1" applyBorder="1"/>
    <xf numFmtId="165" fontId="18" fillId="4" borderId="3" xfId="0" applyNumberFormat="1" applyFont="1" applyFill="1" applyBorder="1" applyAlignment="1">
      <alignment horizontal="center" vertical="center"/>
    </xf>
    <xf numFmtId="4" fontId="16" fillId="4" borderId="3" xfId="0" applyNumberFormat="1" applyFont="1" applyFill="1" applyBorder="1" applyAlignment="1">
      <alignment horizontal="center" vertical="center"/>
    </xf>
    <xf numFmtId="0" fontId="16" fillId="4" borderId="22" xfId="0" applyFont="1" applyFill="1" applyBorder="1" applyAlignment="1">
      <alignment horizontal="center" vertical="center" wrapText="1"/>
    </xf>
    <xf numFmtId="49" fontId="65" fillId="0" borderId="3" xfId="0" applyNumberFormat="1" applyFont="1" applyFill="1" applyBorder="1" applyAlignment="1">
      <alignment horizontal="left" vertical="center" wrapText="1"/>
    </xf>
    <xf numFmtId="49" fontId="65" fillId="0" borderId="4" xfId="0" applyNumberFormat="1" applyFont="1" applyBorder="1"/>
    <xf numFmtId="49" fontId="1" fillId="0" borderId="4" xfId="0" applyNumberFormat="1" applyFont="1" applyFill="1" applyBorder="1" applyAlignment="1">
      <alignment horizontal="center"/>
    </xf>
    <xf numFmtId="49" fontId="16" fillId="0" borderId="4" xfId="0" applyNumberFormat="1" applyFont="1" applyFill="1" applyBorder="1" applyAlignment="1">
      <alignment horizontal="center"/>
    </xf>
    <xf numFmtId="4" fontId="18" fillId="4" borderId="4" xfId="0" applyNumberFormat="1" applyFont="1" applyFill="1" applyBorder="1" applyAlignment="1">
      <alignment horizontal="center" vertical="center"/>
    </xf>
    <xf numFmtId="4" fontId="18" fillId="4" borderId="3" xfId="0" applyNumberFormat="1" applyFont="1" applyFill="1" applyBorder="1" applyAlignment="1">
      <alignment horizontal="center" vertical="center"/>
    </xf>
    <xf numFmtId="49" fontId="66" fillId="0" borderId="15" xfId="0" applyNumberFormat="1" applyFont="1" applyFill="1" applyBorder="1" applyAlignment="1">
      <alignment vertical="center" wrapText="1"/>
    </xf>
    <xf numFmtId="4" fontId="69" fillId="0" borderId="0" xfId="0" applyNumberFormat="1" applyFont="1"/>
    <xf numFmtId="0" fontId="69" fillId="0" borderId="0" xfId="0" applyFont="1"/>
    <xf numFmtId="49" fontId="0" fillId="4" borderId="5" xfId="0" applyNumberFormat="1" applyFill="1" applyBorder="1" applyAlignment="1">
      <alignment vertical="center" wrapText="1"/>
    </xf>
    <xf numFmtId="0" fontId="18" fillId="4" borderId="4" xfId="0" applyFont="1" applyFill="1" applyBorder="1" applyAlignment="1">
      <alignment horizontal="center" vertical="top" wrapText="1"/>
    </xf>
    <xf numFmtId="0" fontId="16" fillId="4" borderId="23" xfId="0" applyFont="1" applyFill="1" applyBorder="1" applyAlignment="1">
      <alignment vertical="center" wrapText="1"/>
    </xf>
    <xf numFmtId="9" fontId="19" fillId="4" borderId="11" xfId="4" applyFont="1" applyFill="1" applyBorder="1" applyAlignment="1">
      <alignment wrapText="1"/>
    </xf>
    <xf numFmtId="9" fontId="19" fillId="4" borderId="4" xfId="4" applyFont="1" applyFill="1" applyBorder="1" applyAlignment="1">
      <alignment wrapText="1"/>
    </xf>
    <xf numFmtId="0" fontId="1" fillId="4" borderId="23" xfId="0" applyFont="1" applyFill="1" applyBorder="1" applyAlignment="1">
      <alignment horizontal="center" wrapText="1"/>
    </xf>
    <xf numFmtId="49" fontId="1" fillId="4" borderId="23" xfId="0" applyNumberFormat="1" applyFont="1" applyFill="1" applyBorder="1" applyAlignment="1">
      <alignment horizontal="center"/>
    </xf>
    <xf numFmtId="49" fontId="16" fillId="4" borderId="5" xfId="0" applyNumberFormat="1" applyFont="1" applyFill="1" applyBorder="1" applyAlignment="1">
      <alignment horizontal="center"/>
    </xf>
    <xf numFmtId="0" fontId="4" fillId="4" borderId="0" xfId="0" applyFont="1" applyFill="1"/>
    <xf numFmtId="49" fontId="0" fillId="0" borderId="3" xfId="0" applyNumberFormat="1" applyFill="1" applyBorder="1" applyAlignment="1">
      <alignment horizontal="center" vertical="center" wrapText="1"/>
    </xf>
    <xf numFmtId="0" fontId="16" fillId="4" borderId="4" xfId="0" applyFont="1" applyFill="1" applyBorder="1" applyAlignment="1">
      <alignment vertical="center" wrapText="1"/>
    </xf>
    <xf numFmtId="0" fontId="1" fillId="4" borderId="4" xfId="0" applyFont="1" applyFill="1" applyBorder="1" applyAlignment="1">
      <alignment horizontal="center" wrapText="1"/>
    </xf>
    <xf numFmtId="49" fontId="1" fillId="4" borderId="4" xfId="0" applyNumberFormat="1" applyFont="1" applyFill="1" applyBorder="1" applyAlignment="1">
      <alignment horizontal="center"/>
    </xf>
    <xf numFmtId="4" fontId="4" fillId="4" borderId="0" xfId="0" applyNumberFormat="1" applyFont="1" applyFill="1"/>
    <xf numFmtId="9" fontId="19" fillId="4" borderId="10" xfId="4" applyFont="1" applyFill="1" applyBorder="1" applyAlignment="1">
      <alignment wrapText="1"/>
    </xf>
    <xf numFmtId="9" fontId="19" fillId="4" borderId="5" xfId="4" applyFont="1" applyFill="1" applyBorder="1" applyAlignment="1">
      <alignment wrapText="1"/>
    </xf>
    <xf numFmtId="0" fontId="1" fillId="4" borderId="5" xfId="0" applyFont="1" applyFill="1" applyBorder="1" applyAlignment="1">
      <alignment horizontal="center" wrapText="1"/>
    </xf>
    <xf numFmtId="49" fontId="1" fillId="4" borderId="5" xfId="0" applyNumberFormat="1" applyFont="1" applyFill="1" applyBorder="1" applyAlignment="1">
      <alignment horizontal="center"/>
    </xf>
    <xf numFmtId="0" fontId="1" fillId="4" borderId="3" xfId="0" applyFont="1" applyFill="1" applyBorder="1" applyAlignment="1">
      <alignment horizontal="center" wrapText="1"/>
    </xf>
    <xf numFmtId="49" fontId="1" fillId="4" borderId="3" xfId="0" applyNumberFormat="1" applyFont="1" applyFill="1" applyBorder="1" applyAlignment="1">
      <alignment horizontal="center" wrapText="1"/>
    </xf>
    <xf numFmtId="49" fontId="1" fillId="4" borderId="4" xfId="0" applyNumberFormat="1" applyFont="1" applyFill="1" applyBorder="1" applyAlignment="1">
      <alignment horizontal="center" wrapText="1"/>
    </xf>
    <xf numFmtId="9" fontId="19" fillId="4" borderId="2" xfId="4" applyFont="1" applyFill="1" applyBorder="1" applyAlignment="1">
      <alignment wrapText="1"/>
    </xf>
    <xf numFmtId="49" fontId="1" fillId="4" borderId="5" xfId="0" applyNumberFormat="1" applyFont="1" applyFill="1" applyBorder="1" applyAlignment="1">
      <alignment horizontal="center" wrapText="1"/>
    </xf>
    <xf numFmtId="0" fontId="1" fillId="4" borderId="4" xfId="0" applyFont="1" applyFill="1" applyBorder="1" applyAlignment="1">
      <alignment vertical="top" wrapText="1"/>
    </xf>
    <xf numFmtId="0" fontId="1" fillId="4" borderId="4" xfId="0" applyFont="1" applyFill="1" applyBorder="1" applyAlignment="1">
      <alignment horizontal="center" wrapText="1"/>
    </xf>
    <xf numFmtId="49" fontId="1" fillId="4" borderId="4" xfId="0" applyNumberFormat="1" applyFont="1" applyFill="1" applyBorder="1" applyAlignment="1">
      <alignment horizontal="center" wrapText="1"/>
    </xf>
    <xf numFmtId="4" fontId="16" fillId="4" borderId="5" xfId="0" applyNumberFormat="1" applyFont="1" applyFill="1" applyBorder="1" applyAlignment="1">
      <alignment horizontal="center" vertical="center"/>
    </xf>
    <xf numFmtId="165" fontId="16" fillId="4" borderId="5" xfId="0" applyNumberFormat="1" applyFont="1" applyFill="1" applyBorder="1" applyAlignment="1">
      <alignment horizontal="center" vertical="center"/>
    </xf>
    <xf numFmtId="49" fontId="16" fillId="4" borderId="3" xfId="0" applyNumberFormat="1" applyFont="1" applyFill="1" applyBorder="1" applyAlignment="1">
      <alignment horizontal="center"/>
    </xf>
    <xf numFmtId="165" fontId="16" fillId="4" borderId="3" xfId="0" applyNumberFormat="1" applyFont="1" applyFill="1" applyBorder="1" applyAlignment="1">
      <alignment horizontal="center" vertical="center"/>
    </xf>
    <xf numFmtId="0" fontId="1" fillId="4" borderId="3" xfId="0" applyFont="1" applyFill="1" applyBorder="1" applyAlignment="1">
      <alignment vertical="top" wrapText="1"/>
    </xf>
    <xf numFmtId="0" fontId="1" fillId="4" borderId="4" xfId="0" applyFont="1" applyFill="1" applyBorder="1" applyAlignment="1">
      <alignment horizontal="center" vertical="center" wrapText="1"/>
    </xf>
    <xf numFmtId="49" fontId="1" fillId="4" borderId="4" xfId="0" applyNumberFormat="1" applyFont="1" applyFill="1" applyBorder="1" applyAlignment="1">
      <alignment horizontal="center" vertical="center" wrapText="1"/>
    </xf>
    <xf numFmtId="0" fontId="1" fillId="4" borderId="5" xfId="0" applyFont="1" applyFill="1" applyBorder="1" applyAlignment="1">
      <alignment vertical="top" wrapText="1"/>
    </xf>
    <xf numFmtId="4" fontId="18" fillId="4" borderId="5" xfId="0" applyNumberFormat="1" applyFont="1" applyFill="1" applyBorder="1" applyAlignment="1">
      <alignment horizontal="center" vertical="center"/>
    </xf>
    <xf numFmtId="165" fontId="18" fillId="4" borderId="5" xfId="0" applyNumberFormat="1" applyFont="1" applyFill="1" applyBorder="1" applyAlignment="1">
      <alignment horizontal="center" vertical="center"/>
    </xf>
    <xf numFmtId="0" fontId="16" fillId="4" borderId="5" xfId="0" applyFont="1" applyFill="1" applyBorder="1" applyAlignment="1">
      <alignment vertical="center" wrapText="1"/>
    </xf>
    <xf numFmtId="0" fontId="16" fillId="4" borderId="3" xfId="0" applyFont="1" applyFill="1" applyBorder="1" applyAlignment="1">
      <alignment horizontal="left" vertical="center" wrapText="1"/>
    </xf>
    <xf numFmtId="2" fontId="18" fillId="4" borderId="5" xfId="0" applyNumberFormat="1" applyFont="1" applyFill="1" applyBorder="1" applyAlignment="1">
      <alignment horizontal="center"/>
    </xf>
    <xf numFmtId="0" fontId="16" fillId="4" borderId="4" xfId="0" applyFont="1" applyFill="1" applyBorder="1" applyAlignment="1">
      <alignment horizontal="left" vertical="center" wrapText="1"/>
    </xf>
    <xf numFmtId="0" fontId="1" fillId="4" borderId="4" xfId="0" applyFont="1" applyFill="1" applyBorder="1" applyAlignment="1">
      <alignment horizontal="center" vertical="top" wrapText="1"/>
    </xf>
    <xf numFmtId="0" fontId="16" fillId="4" borderId="5" xfId="0" applyFont="1" applyFill="1" applyBorder="1" applyAlignment="1">
      <alignment horizontal="left" vertical="center" wrapText="1"/>
    </xf>
    <xf numFmtId="49" fontId="62" fillId="0" borderId="5" xfId="0" applyNumberFormat="1" applyFont="1" applyFill="1" applyBorder="1" applyAlignment="1">
      <alignment horizontal="center"/>
    </xf>
    <xf numFmtId="49" fontId="62" fillId="4" borderId="5" xfId="0" applyNumberFormat="1" applyFont="1" applyFill="1" applyBorder="1" applyAlignment="1">
      <alignment horizontal="center"/>
    </xf>
    <xf numFmtId="49" fontId="16" fillId="0" borderId="0" xfId="0" applyNumberFormat="1" applyFont="1" applyFill="1" applyAlignment="1">
      <alignment horizontal="center"/>
    </xf>
    <xf numFmtId="0" fontId="62" fillId="4" borderId="3" xfId="0" applyFont="1" applyFill="1" applyBorder="1" applyAlignment="1">
      <alignment horizontal="center" vertical="center"/>
    </xf>
    <xf numFmtId="0" fontId="62" fillId="4" borderId="5" xfId="0" applyFont="1" applyFill="1" applyBorder="1" applyAlignment="1">
      <alignment horizontal="center" vertical="center"/>
    </xf>
    <xf numFmtId="0" fontId="62" fillId="4" borderId="2" xfId="0" applyFont="1" applyFill="1" applyBorder="1" applyAlignment="1">
      <alignment horizontal="center"/>
    </xf>
    <xf numFmtId="49" fontId="62" fillId="4" borderId="3" xfId="0" applyNumberFormat="1" applyFont="1" applyFill="1" applyBorder="1" applyAlignment="1"/>
    <xf numFmtId="49" fontId="62" fillId="4" borderId="22" xfId="0" applyNumberFormat="1" applyFont="1" applyFill="1" applyBorder="1" applyAlignment="1"/>
    <xf numFmtId="49" fontId="62" fillId="4" borderId="23" xfId="0" applyNumberFormat="1" applyFont="1" applyFill="1" applyBorder="1" applyAlignment="1">
      <alignment horizontal="center"/>
    </xf>
    <xf numFmtId="49" fontId="62" fillId="4" borderId="4" xfId="0" applyNumberFormat="1" applyFont="1" applyFill="1" applyBorder="1" applyAlignment="1">
      <alignment horizontal="center"/>
    </xf>
    <xf numFmtId="49" fontId="62" fillId="4" borderId="5" xfId="0" applyNumberFormat="1" applyFont="1" applyFill="1" applyBorder="1" applyAlignment="1">
      <alignment horizontal="center"/>
    </xf>
    <xf numFmtId="0" fontId="62" fillId="4" borderId="3" xfId="0" applyFont="1" applyFill="1" applyBorder="1" applyAlignment="1">
      <alignment horizontal="center"/>
    </xf>
    <xf numFmtId="0" fontId="62" fillId="4" borderId="4" xfId="0" applyFont="1" applyFill="1" applyBorder="1" applyAlignment="1">
      <alignment horizontal="center"/>
    </xf>
    <xf numFmtId="0" fontId="62" fillId="4" borderId="5" xfId="0" applyFont="1" applyFill="1" applyBorder="1" applyAlignment="1">
      <alignment horizontal="center"/>
    </xf>
    <xf numFmtId="0" fontId="62" fillId="4" borderId="4" xfId="0" applyFont="1" applyFill="1" applyBorder="1" applyAlignment="1">
      <alignment horizontal="center" vertical="center"/>
    </xf>
    <xf numFmtId="49" fontId="62" fillId="4" borderId="3" xfId="0" applyNumberFormat="1" applyFont="1" applyFill="1" applyBorder="1" applyAlignment="1">
      <alignment horizontal="center" vertical="center"/>
    </xf>
    <xf numFmtId="49" fontId="62" fillId="4" borderId="4" xfId="0" applyNumberFormat="1" applyFont="1" applyFill="1" applyBorder="1" applyAlignment="1">
      <alignment horizontal="center" vertical="center"/>
    </xf>
    <xf numFmtId="49" fontId="62" fillId="4" borderId="5" xfId="0" applyNumberFormat="1" applyFont="1" applyFill="1" applyBorder="1" applyAlignment="1">
      <alignment horizontal="center" vertical="center"/>
    </xf>
    <xf numFmtId="0" fontId="16" fillId="0" borderId="15" xfId="0" applyFont="1" applyFill="1" applyBorder="1" applyAlignment="1">
      <alignment vertical="top" wrapText="1"/>
    </xf>
    <xf numFmtId="9" fontId="67" fillId="0" borderId="16" xfId="4" applyFont="1" applyFill="1" applyBorder="1" applyAlignment="1">
      <alignment wrapText="1"/>
    </xf>
    <xf numFmtId="9" fontId="67" fillId="0" borderId="19" xfId="4" applyFont="1" applyFill="1" applyBorder="1" applyAlignment="1">
      <alignment wrapText="1"/>
    </xf>
    <xf numFmtId="49" fontId="68" fillId="0" borderId="19" xfId="0" applyNumberFormat="1" applyFont="1" applyFill="1" applyBorder="1" applyAlignment="1">
      <alignment horizontal="center"/>
    </xf>
    <xf numFmtId="49" fontId="16" fillId="0" borderId="19" xfId="0" applyNumberFormat="1" applyFont="1" applyFill="1" applyBorder="1" applyAlignment="1">
      <alignment horizontal="center"/>
    </xf>
    <xf numFmtId="4" fontId="18" fillId="0" borderId="19" xfId="4" applyNumberFormat="1" applyFont="1" applyFill="1" applyBorder="1" applyAlignment="1">
      <alignment horizontal="center" vertical="center" wrapText="1"/>
    </xf>
    <xf numFmtId="0" fontId="18" fillId="0" borderId="16" xfId="0" applyFont="1" applyFill="1" applyBorder="1" applyAlignment="1">
      <alignment horizontal="center" vertical="top" wrapText="1"/>
    </xf>
    <xf numFmtId="9" fontId="18" fillId="0" borderId="19" xfId="4" applyFont="1" applyFill="1" applyBorder="1" applyAlignment="1">
      <alignment horizontal="center" wrapText="1"/>
    </xf>
    <xf numFmtId="0" fontId="17" fillId="10" borderId="16" xfId="0" applyFont="1" applyFill="1" applyBorder="1" applyAlignment="1">
      <alignment horizontal="center" vertical="top" wrapText="1"/>
    </xf>
    <xf numFmtId="0" fontId="17" fillId="10" borderId="17" xfId="0" applyFont="1" applyFill="1" applyBorder="1" applyAlignment="1">
      <alignment horizontal="center" vertical="top" wrapText="1"/>
    </xf>
    <xf numFmtId="0" fontId="17" fillId="10" borderId="18" xfId="0" applyFont="1" applyFill="1" applyBorder="1" applyAlignment="1">
      <alignment horizontal="center" vertical="top" wrapText="1"/>
    </xf>
    <xf numFmtId="2" fontId="18" fillId="3" borderId="2" xfId="0" applyNumberFormat="1" applyFont="1" applyFill="1" applyBorder="1" applyAlignment="1">
      <alignment horizontal="center" vertical="center"/>
    </xf>
    <xf numFmtId="165" fontId="18" fillId="3" borderId="2" xfId="0" applyNumberFormat="1" applyFont="1" applyFill="1" applyBorder="1" applyAlignment="1">
      <alignment horizontal="center" vertical="center"/>
    </xf>
    <xf numFmtId="49" fontId="1" fillId="0" borderId="3" xfId="0" applyNumberFormat="1" applyFont="1" applyBorder="1" applyAlignment="1">
      <alignment horizontal="left" vertical="justify"/>
    </xf>
    <xf numFmtId="49" fontId="1" fillId="0" borderId="2" xfId="0" applyNumberFormat="1" applyFont="1" applyBorder="1"/>
    <xf numFmtId="2" fontId="16" fillId="4" borderId="2" xfId="0" applyNumberFormat="1" applyFont="1" applyFill="1" applyBorder="1" applyAlignment="1">
      <alignment horizontal="center" vertical="center"/>
    </xf>
    <xf numFmtId="49" fontId="1" fillId="0" borderId="4" xfId="0" applyNumberFormat="1" applyFont="1" applyBorder="1" applyAlignment="1">
      <alignment horizontal="left" vertical="justify"/>
    </xf>
    <xf numFmtId="49" fontId="1" fillId="0" borderId="5" xfId="0" applyNumberFormat="1" applyFont="1" applyBorder="1" applyAlignment="1">
      <alignment horizontal="left" vertical="justify"/>
    </xf>
    <xf numFmtId="0" fontId="17" fillId="0" borderId="3" xfId="0" applyFont="1" applyBorder="1" applyAlignment="1">
      <alignment horizontal="center" vertical="justify"/>
    </xf>
    <xf numFmtId="0" fontId="17" fillId="0" borderId="4" xfId="0" applyFont="1" applyBorder="1" applyAlignment="1">
      <alignment horizontal="center" vertical="justify"/>
    </xf>
    <xf numFmtId="0" fontId="17" fillId="0" borderId="4" xfId="0" applyFont="1" applyBorder="1" applyAlignment="1">
      <alignment horizontal="center" vertical="center"/>
    </xf>
    <xf numFmtId="0" fontId="17" fillId="0" borderId="5" xfId="0" applyFont="1" applyBorder="1" applyAlignment="1">
      <alignment horizontal="center" vertical="center"/>
    </xf>
    <xf numFmtId="0" fontId="17" fillId="0" borderId="5" xfId="0" applyFont="1" applyBorder="1" applyAlignment="1">
      <alignment horizontal="center" vertical="justify"/>
    </xf>
    <xf numFmtId="0" fontId="17" fillId="3" borderId="2" xfId="0" applyFont="1" applyFill="1" applyBorder="1" applyAlignment="1">
      <alignment vertical="center"/>
    </xf>
    <xf numFmtId="0" fontId="17" fillId="3" borderId="8" xfId="0" applyFont="1" applyFill="1" applyBorder="1" applyAlignment="1">
      <alignment horizontal="center" vertical="justify"/>
    </xf>
    <xf numFmtId="0" fontId="17" fillId="3" borderId="6" xfId="0" applyFont="1" applyFill="1" applyBorder="1" applyAlignment="1">
      <alignment horizontal="center" vertical="justify"/>
    </xf>
    <xf numFmtId="0" fontId="17" fillId="3" borderId="7" xfId="0" applyFont="1" applyFill="1" applyBorder="1" applyAlignment="1">
      <alignment horizontal="center" vertical="justify"/>
    </xf>
    <xf numFmtId="0" fontId="10" fillId="0" borderId="0" xfId="0" applyFont="1" applyAlignment="1">
      <alignment wrapText="1" shrinkToFit="1"/>
    </xf>
    <xf numFmtId="0" fontId="10" fillId="0" borderId="2" xfId="0" applyFont="1" applyBorder="1" applyAlignment="1">
      <alignment horizontal="center" wrapText="1" shrinkToFit="1"/>
    </xf>
    <xf numFmtId="0" fontId="22" fillId="0" borderId="3" xfId="0" applyFont="1" applyBorder="1" applyAlignment="1">
      <alignment horizontal="center" vertical="top" wrapText="1"/>
    </xf>
    <xf numFmtId="0" fontId="22" fillId="0" borderId="2" xfId="0" applyFont="1" applyBorder="1" applyAlignment="1">
      <alignment horizontal="left" vertical="top" wrapText="1"/>
    </xf>
    <xf numFmtId="0" fontId="22" fillId="0" borderId="2" xfId="0" applyFont="1" applyBorder="1" applyAlignment="1">
      <alignment horizontal="center" vertical="top" wrapText="1"/>
    </xf>
    <xf numFmtId="49" fontId="22" fillId="0" borderId="2" xfId="0" applyNumberFormat="1" applyFont="1" applyBorder="1" applyAlignment="1">
      <alignment vertical="top" wrapText="1"/>
    </xf>
    <xf numFmtId="49" fontId="28" fillId="0" borderId="2" xfId="0" applyNumberFormat="1" applyFont="1" applyBorder="1"/>
    <xf numFmtId="166" fontId="28" fillId="0" borderId="2" xfId="0" applyNumberFormat="1" applyFont="1" applyBorder="1" applyAlignment="1">
      <alignment horizontal="right"/>
    </xf>
    <xf numFmtId="166" fontId="71" fillId="0" borderId="2" xfId="0" applyNumberFormat="1" applyFont="1" applyBorder="1" applyAlignment="1">
      <alignment horizontal="right"/>
    </xf>
    <xf numFmtId="0" fontId="22" fillId="0" borderId="4" xfId="0" applyFont="1" applyBorder="1" applyAlignment="1">
      <alignment horizontal="center" vertical="top" wrapText="1"/>
    </xf>
    <xf numFmtId="49" fontId="22" fillId="0" borderId="3" xfId="0" applyNumberFormat="1" applyFont="1" applyBorder="1" applyAlignment="1">
      <alignment horizontal="left" vertical="top" wrapText="1"/>
    </xf>
    <xf numFmtId="0" fontId="22" fillId="0" borderId="2" xfId="0" applyFont="1" applyBorder="1" applyAlignment="1">
      <alignment vertical="top" wrapText="1"/>
    </xf>
    <xf numFmtId="49" fontId="22" fillId="0" borderId="2" xfId="0" applyNumberFormat="1" applyFont="1" applyBorder="1" applyAlignment="1">
      <alignment horizontal="left" vertical="top" wrapText="1"/>
    </xf>
    <xf numFmtId="49" fontId="28" fillId="0" borderId="2" xfId="0" applyNumberFormat="1" applyFont="1" applyBorder="1" applyAlignment="1">
      <alignment horizontal="center" vertical="top" wrapText="1"/>
    </xf>
    <xf numFmtId="166" fontId="28" fillId="0" borderId="2" xfId="0" applyNumberFormat="1" applyFont="1" applyBorder="1" applyAlignment="1">
      <alignment vertical="top" wrapText="1"/>
    </xf>
    <xf numFmtId="166" fontId="71" fillId="0" borderId="2" xfId="0" applyNumberFormat="1" applyFont="1" applyBorder="1" applyAlignment="1">
      <alignment vertical="top" wrapText="1"/>
    </xf>
    <xf numFmtId="49" fontId="57" fillId="0" borderId="2" xfId="0" applyNumberFormat="1" applyFont="1" applyBorder="1" applyAlignment="1">
      <alignment vertical="top"/>
    </xf>
    <xf numFmtId="166" fontId="72" fillId="0" borderId="2" xfId="0" applyNumberFormat="1" applyFont="1" applyBorder="1" applyAlignment="1">
      <alignment vertical="top" wrapText="1"/>
    </xf>
    <xf numFmtId="166" fontId="73" fillId="0" borderId="2" xfId="0" applyNumberFormat="1" applyFont="1" applyBorder="1" applyAlignment="1">
      <alignment vertical="top" wrapText="1"/>
    </xf>
    <xf numFmtId="167" fontId="22" fillId="0" borderId="2" xfId="0" applyNumberFormat="1" applyFont="1" applyBorder="1" applyAlignment="1">
      <alignment vertical="top" wrapText="1"/>
    </xf>
    <xf numFmtId="49" fontId="22" fillId="0" borderId="2" xfId="0" applyNumberFormat="1" applyFont="1" applyBorder="1" applyAlignment="1">
      <alignment vertical="top"/>
    </xf>
    <xf numFmtId="0" fontId="22" fillId="0" borderId="3" xfId="0" applyFont="1" applyBorder="1" applyAlignment="1">
      <alignment vertical="top" wrapText="1"/>
    </xf>
    <xf numFmtId="0" fontId="22" fillId="0" borderId="4" xfId="0" applyFont="1" applyBorder="1" applyAlignment="1">
      <alignment vertical="top" wrapText="1"/>
    </xf>
    <xf numFmtId="166" fontId="74" fillId="0" borderId="2" xfId="0" applyNumberFormat="1" applyFont="1" applyBorder="1" applyAlignment="1">
      <alignment vertical="top" wrapText="1"/>
    </xf>
    <xf numFmtId="166" fontId="12" fillId="0" borderId="0" xfId="0" applyNumberFormat="1" applyFont="1"/>
    <xf numFmtId="49" fontId="22" fillId="0" borderId="2" xfId="0" applyNumberFormat="1" applyFont="1" applyBorder="1" applyAlignment="1">
      <alignment vertical="justify"/>
    </xf>
    <xf numFmtId="49" fontId="22" fillId="0" borderId="2" xfId="0" applyNumberFormat="1" applyFont="1" applyBorder="1" applyAlignment="1">
      <alignment horizontal="left" vertical="center" wrapText="1"/>
    </xf>
    <xf numFmtId="0" fontId="22" fillId="0" borderId="5" xfId="0" applyFont="1" applyBorder="1" applyAlignment="1">
      <alignment vertical="top" wrapText="1"/>
    </xf>
    <xf numFmtId="49" fontId="22" fillId="0" borderId="3" xfId="0" applyNumberFormat="1" applyFont="1" applyBorder="1" applyAlignment="1">
      <alignment horizontal="center" vertical="justify"/>
    </xf>
    <xf numFmtId="49" fontId="22" fillId="0" borderId="3" xfId="0" applyNumberFormat="1" applyFont="1" applyBorder="1" applyAlignment="1">
      <alignment horizontal="center" vertical="top" wrapText="1"/>
    </xf>
    <xf numFmtId="166" fontId="22" fillId="0" borderId="2" xfId="0" applyNumberFormat="1" applyFont="1" applyBorder="1" applyAlignment="1">
      <alignment vertical="top" wrapText="1"/>
    </xf>
    <xf numFmtId="49" fontId="22" fillId="0" borderId="4" xfId="0" applyNumberFormat="1" applyFont="1" applyBorder="1" applyAlignment="1">
      <alignment horizontal="center" vertical="justify"/>
    </xf>
    <xf numFmtId="49" fontId="22" fillId="0" borderId="4" xfId="0" applyNumberFormat="1" applyFont="1" applyBorder="1" applyAlignment="1">
      <alignment horizontal="center" vertical="top" wrapText="1"/>
    </xf>
    <xf numFmtId="166" fontId="57" fillId="0" borderId="2" xfId="0" applyNumberFormat="1" applyFont="1" applyBorder="1" applyAlignment="1">
      <alignment vertical="top" wrapText="1"/>
    </xf>
    <xf numFmtId="0" fontId="75" fillId="0" borderId="0" xfId="0" applyFont="1"/>
    <xf numFmtId="0" fontId="22" fillId="0" borderId="3" xfId="0" applyFont="1" applyBorder="1" applyAlignment="1">
      <alignment horizontal="left" vertical="top" wrapText="1"/>
    </xf>
    <xf numFmtId="49" fontId="22" fillId="0" borderId="5" xfId="0" applyNumberFormat="1" applyFont="1" applyBorder="1" applyAlignment="1">
      <alignment horizontal="center" vertical="justify"/>
    </xf>
    <xf numFmtId="49" fontId="22" fillId="0" borderId="5" xfId="0" applyNumberFormat="1" applyFont="1" applyBorder="1" applyAlignment="1">
      <alignment horizontal="center" vertical="top" wrapText="1"/>
    </xf>
    <xf numFmtId="49" fontId="22" fillId="0" borderId="3" xfId="0" applyNumberFormat="1" applyFont="1" applyBorder="1" applyAlignment="1">
      <alignment horizontal="left" vertical="top" wrapText="1"/>
    </xf>
    <xf numFmtId="49" fontId="57" fillId="0" borderId="2" xfId="0" applyNumberFormat="1" applyFont="1" applyBorder="1" applyAlignment="1">
      <alignment horizontal="center" vertical="top" wrapText="1"/>
    </xf>
    <xf numFmtId="49" fontId="57" fillId="0" borderId="2" xfId="0" applyNumberFormat="1" applyFont="1" applyBorder="1" applyAlignment="1">
      <alignment horizontal="center" vertical="top"/>
    </xf>
    <xf numFmtId="49" fontId="22" fillId="0" borderId="4" xfId="0" applyNumberFormat="1" applyFont="1" applyBorder="1" applyAlignment="1">
      <alignment horizontal="left" vertical="top" wrapText="1"/>
    </xf>
    <xf numFmtId="167" fontId="22" fillId="0" borderId="7" xfId="0" applyNumberFormat="1" applyFont="1" applyBorder="1" applyAlignment="1">
      <alignment vertical="top"/>
    </xf>
    <xf numFmtId="167" fontId="22" fillId="0" borderId="2" xfId="0" applyNumberFormat="1" applyFont="1" applyBorder="1" applyAlignment="1">
      <alignment horizontal="center" vertical="top" wrapText="1"/>
    </xf>
    <xf numFmtId="49" fontId="28" fillId="0" borderId="2" xfId="0" applyNumberFormat="1" applyFont="1" applyBorder="1" applyAlignment="1">
      <alignment vertical="top"/>
    </xf>
    <xf numFmtId="0" fontId="76" fillId="0" borderId="0" xfId="0" applyFont="1"/>
    <xf numFmtId="49" fontId="57" fillId="0" borderId="3" xfId="0" applyNumberFormat="1" applyFont="1" applyBorder="1" applyAlignment="1">
      <alignment horizontal="center" vertical="top" wrapText="1"/>
    </xf>
    <xf numFmtId="49" fontId="57" fillId="0" borderId="3" xfId="0" applyNumberFormat="1" applyFont="1" applyBorder="1" applyAlignment="1">
      <alignment horizontal="center" vertical="top"/>
    </xf>
    <xf numFmtId="49" fontId="22" fillId="0" borderId="3" xfId="0" applyNumberFormat="1" applyFont="1" applyBorder="1" applyAlignment="1">
      <alignment vertical="top" wrapText="1"/>
    </xf>
    <xf numFmtId="0" fontId="22" fillId="0" borderId="5" xfId="0" applyFont="1" applyBorder="1" applyAlignment="1">
      <alignment horizontal="center" vertical="top" wrapText="1"/>
    </xf>
    <xf numFmtId="49" fontId="57" fillId="0" borderId="4" xfId="0" applyNumberFormat="1" applyFont="1" applyBorder="1" applyAlignment="1">
      <alignment horizontal="center" vertical="top" wrapText="1"/>
    </xf>
    <xf numFmtId="49" fontId="57" fillId="0" borderId="4" xfId="0" applyNumberFormat="1" applyFont="1" applyBorder="1" applyAlignment="1">
      <alignment horizontal="center" vertical="top"/>
    </xf>
    <xf numFmtId="0" fontId="22" fillId="0" borderId="5" xfId="0" applyFont="1" applyBorder="1" applyAlignment="1">
      <alignment horizontal="center" vertical="top" wrapText="1"/>
    </xf>
    <xf numFmtId="49" fontId="57" fillId="0" borderId="5" xfId="0" applyNumberFormat="1" applyFont="1" applyBorder="1" applyAlignment="1">
      <alignment horizontal="center" vertical="top" wrapText="1"/>
    </xf>
    <xf numFmtId="49" fontId="57" fillId="0" borderId="5" xfId="0" applyNumberFormat="1" applyFont="1" applyBorder="1" applyAlignment="1">
      <alignment horizontal="center" vertical="top"/>
    </xf>
    <xf numFmtId="49" fontId="22" fillId="0" borderId="5" xfId="0" applyNumberFormat="1" applyFont="1" applyBorder="1" applyAlignment="1">
      <alignment vertical="top" wrapText="1"/>
    </xf>
    <xf numFmtId="0" fontId="4" fillId="0" borderId="2" xfId="0" applyFont="1" applyBorder="1"/>
    <xf numFmtId="49" fontId="1" fillId="0" borderId="2" xfId="0" applyNumberFormat="1" applyFont="1" applyBorder="1" applyAlignment="1">
      <alignment vertical="justify"/>
    </xf>
    <xf numFmtId="49" fontId="1" fillId="0" borderId="2" xfId="0" applyNumberFormat="1" applyFont="1" applyBorder="1" applyAlignment="1">
      <alignment wrapText="1"/>
    </xf>
    <xf numFmtId="166" fontId="23" fillId="0" borderId="2" xfId="0" applyNumberFormat="1" applyFont="1" applyBorder="1" applyAlignment="1">
      <alignment horizontal="right"/>
    </xf>
    <xf numFmtId="0" fontId="17" fillId="11" borderId="2" xfId="0" applyFont="1" applyFill="1" applyBorder="1" applyAlignment="1">
      <alignment wrapText="1"/>
    </xf>
    <xf numFmtId="0" fontId="17" fillId="11" borderId="6" xfId="0" applyFont="1" applyFill="1" applyBorder="1" applyAlignment="1">
      <alignment horizontal="center" vertical="top" wrapText="1"/>
    </xf>
    <xf numFmtId="0" fontId="17" fillId="11" borderId="7" xfId="0" applyFont="1" applyFill="1" applyBorder="1" applyAlignment="1">
      <alignment horizontal="center" vertical="top" wrapText="1"/>
    </xf>
    <xf numFmtId="0" fontId="10" fillId="11" borderId="7" xfId="0" applyFont="1" applyFill="1" applyBorder="1" applyAlignment="1">
      <alignment horizontal="center" vertical="top" wrapText="1"/>
    </xf>
    <xf numFmtId="166" fontId="10" fillId="11" borderId="2" xfId="0" applyNumberFormat="1" applyFont="1" applyFill="1" applyBorder="1" applyAlignment="1">
      <alignment horizontal="right" vertical="top" wrapText="1"/>
    </xf>
    <xf numFmtId="166" fontId="70" fillId="11" borderId="2" xfId="0" applyNumberFormat="1" applyFont="1" applyFill="1" applyBorder="1" applyAlignment="1">
      <alignment horizontal="right" vertical="top" wrapText="1"/>
    </xf>
    <xf numFmtId="0" fontId="63" fillId="12" borderId="2" xfId="0" applyFont="1" applyFill="1" applyBorder="1" applyAlignment="1">
      <alignment horizontal="center" wrapText="1"/>
    </xf>
    <xf numFmtId="166" fontId="18" fillId="12" borderId="2" xfId="0" applyNumberFormat="1" applyFont="1" applyFill="1" applyBorder="1" applyAlignment="1">
      <alignment horizontal="right"/>
    </xf>
  </cellXfs>
  <cellStyles count="5">
    <cellStyle name="Денежный" xfId="2" builtinId="4"/>
    <cellStyle name="Обычный" xfId="0" builtinId="0"/>
    <cellStyle name="Обычный_Tmp" xfId="3"/>
    <cellStyle name="Процентный" xfId="4" builtinId="5"/>
    <cellStyle name="Финансовый" xfId="1"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B1622"/>
  <sheetViews>
    <sheetView tabSelected="1" view="pageBreakPreview" zoomScale="80" zoomScaleNormal="100" zoomScaleSheetLayoutView="80" workbookViewId="0">
      <pane ySplit="1" topLeftCell="A679" activePane="bottomLeft" state="frozen"/>
      <selection pane="bottomLeft" activeCell="M684" sqref="M684"/>
    </sheetView>
  </sheetViews>
  <sheetFormatPr defaultColWidth="9.140625" defaultRowHeight="15" x14ac:dyDescent="0.3"/>
  <cols>
    <col min="1" max="1" width="7.85546875" style="1" customWidth="1"/>
    <col min="2" max="2" width="16.42578125" style="2" customWidth="1"/>
    <col min="3" max="3" width="24.140625" style="3" customWidth="1"/>
    <col min="4" max="4" width="10.140625" style="4" customWidth="1"/>
    <col min="5" max="5" width="11.5703125" style="4" customWidth="1"/>
    <col min="6" max="6" width="5.7109375" style="5" customWidth="1"/>
    <col min="7" max="7" width="6.140625" style="5" customWidth="1"/>
    <col min="8" max="8" width="14" style="5" customWidth="1"/>
    <col min="9" max="9" width="6.85546875" style="5" bestFit="1" customWidth="1"/>
    <col min="10" max="10" width="14.5703125" style="6" customWidth="1"/>
    <col min="11" max="11" width="13.28515625" style="6" customWidth="1"/>
    <col min="12" max="13" width="13.28515625" style="7" customWidth="1"/>
    <col min="14" max="14" width="13.42578125" style="7" customWidth="1"/>
    <col min="15" max="15" width="14.7109375" style="7" customWidth="1"/>
    <col min="16" max="16" width="10" style="1" bestFit="1" customWidth="1"/>
    <col min="17" max="19" width="9.140625" style="1"/>
    <col min="20" max="20" width="35.28515625" style="1" customWidth="1"/>
    <col min="21" max="16384" width="9.140625" style="1"/>
  </cols>
  <sheetData>
    <row r="2" spans="1:45" ht="22.9" customHeight="1" x14ac:dyDescent="0.3">
      <c r="A2" s="445" t="s">
        <v>54</v>
      </c>
      <c r="B2" s="445"/>
      <c r="C2" s="445"/>
      <c r="D2" s="445"/>
      <c r="E2" s="445"/>
      <c r="F2" s="445"/>
      <c r="G2" s="445"/>
      <c r="H2" s="445"/>
      <c r="I2" s="445"/>
      <c r="J2" s="445"/>
      <c r="K2" s="445"/>
      <c r="L2" s="445"/>
      <c r="M2" s="445"/>
      <c r="N2" s="445"/>
      <c r="O2" s="445"/>
    </row>
    <row r="3" spans="1:45" ht="31.15" customHeight="1" x14ac:dyDescent="0.3">
      <c r="A3" s="446" t="s">
        <v>55</v>
      </c>
      <c r="B3" s="446"/>
      <c r="C3" s="446"/>
      <c r="D3" s="446"/>
      <c r="E3" s="446"/>
      <c r="F3" s="446"/>
      <c r="G3" s="446"/>
      <c r="H3" s="446"/>
      <c r="I3" s="446"/>
      <c r="J3" s="446"/>
      <c r="K3" s="446"/>
      <c r="L3" s="446"/>
      <c r="M3" s="446"/>
      <c r="N3" s="446"/>
      <c r="O3" s="446"/>
    </row>
    <row r="4" spans="1:45" s="36" customFormat="1" ht="57.6" customHeight="1" x14ac:dyDescent="0.25">
      <c r="A4" s="447" t="s">
        <v>0</v>
      </c>
      <c r="B4" s="450" t="s">
        <v>1</v>
      </c>
      <c r="C4" s="451" t="s">
        <v>2</v>
      </c>
      <c r="D4" s="452"/>
      <c r="E4" s="453"/>
      <c r="F4" s="435" t="s">
        <v>3</v>
      </c>
      <c r="G4" s="435"/>
      <c r="H4" s="435"/>
      <c r="I4" s="435"/>
      <c r="J4" s="428" t="s">
        <v>4</v>
      </c>
      <c r="K4" s="428"/>
      <c r="L4" s="428"/>
      <c r="M4" s="428"/>
      <c r="N4" s="428"/>
      <c r="O4" s="428"/>
    </row>
    <row r="5" spans="1:45" s="35" customFormat="1" ht="12.75" customHeight="1" x14ac:dyDescent="0.25">
      <c r="A5" s="448"/>
      <c r="B5" s="450"/>
      <c r="C5" s="454" t="s">
        <v>5</v>
      </c>
      <c r="D5" s="454" t="s">
        <v>6</v>
      </c>
      <c r="E5" s="454" t="s">
        <v>7</v>
      </c>
      <c r="F5" s="435" t="s">
        <v>8</v>
      </c>
      <c r="G5" s="435" t="s">
        <v>9</v>
      </c>
      <c r="H5" s="435" t="s">
        <v>10</v>
      </c>
      <c r="I5" s="435" t="s">
        <v>11</v>
      </c>
      <c r="J5" s="428" t="s">
        <v>47</v>
      </c>
      <c r="K5" s="428"/>
      <c r="L5" s="428" t="s">
        <v>50</v>
      </c>
      <c r="M5" s="456" t="s">
        <v>40</v>
      </c>
      <c r="N5" s="459" t="s">
        <v>44</v>
      </c>
      <c r="O5" s="428" t="s">
        <v>48</v>
      </c>
    </row>
    <row r="6" spans="1:45" s="35" customFormat="1" ht="36" customHeight="1" x14ac:dyDescent="0.25">
      <c r="A6" s="448"/>
      <c r="B6" s="450"/>
      <c r="C6" s="454"/>
      <c r="D6" s="454"/>
      <c r="E6" s="455"/>
      <c r="F6" s="435"/>
      <c r="G6" s="435"/>
      <c r="H6" s="435"/>
      <c r="I6" s="435"/>
      <c r="J6" s="428"/>
      <c r="K6" s="428"/>
      <c r="L6" s="428"/>
      <c r="M6" s="457"/>
      <c r="N6" s="460"/>
      <c r="O6" s="428"/>
    </row>
    <row r="7" spans="1:45" s="35" customFormat="1" ht="12.95" customHeight="1" x14ac:dyDescent="0.25">
      <c r="A7" s="448"/>
      <c r="B7" s="450"/>
      <c r="C7" s="454"/>
      <c r="D7" s="454"/>
      <c r="E7" s="455"/>
      <c r="F7" s="435"/>
      <c r="G7" s="435"/>
      <c r="H7" s="435"/>
      <c r="I7" s="435"/>
      <c r="J7" s="428" t="s">
        <v>12</v>
      </c>
      <c r="K7" s="428" t="s">
        <v>13</v>
      </c>
      <c r="L7" s="428"/>
      <c r="M7" s="457"/>
      <c r="N7" s="460"/>
      <c r="O7" s="428"/>
    </row>
    <row r="8" spans="1:45" s="35" customFormat="1" ht="67.900000000000006" customHeight="1" x14ac:dyDescent="0.25">
      <c r="A8" s="449"/>
      <c r="B8" s="450"/>
      <c r="C8" s="454"/>
      <c r="D8" s="454"/>
      <c r="E8" s="455"/>
      <c r="F8" s="435"/>
      <c r="G8" s="435"/>
      <c r="H8" s="435"/>
      <c r="I8" s="435"/>
      <c r="J8" s="428"/>
      <c r="K8" s="428"/>
      <c r="L8" s="428"/>
      <c r="M8" s="458"/>
      <c r="N8" s="461"/>
      <c r="O8" s="428"/>
    </row>
    <row r="9" spans="1:45" s="10" customFormat="1" x14ac:dyDescent="0.3">
      <c r="A9" s="8">
        <v>1</v>
      </c>
      <c r="B9" s="9">
        <v>2</v>
      </c>
      <c r="C9" s="8">
        <v>3</v>
      </c>
      <c r="D9" s="9">
        <v>4</v>
      </c>
      <c r="E9" s="8">
        <v>5</v>
      </c>
      <c r="F9" s="9">
        <v>6</v>
      </c>
      <c r="G9" s="8">
        <v>7</v>
      </c>
      <c r="H9" s="9">
        <v>8</v>
      </c>
      <c r="I9" s="9">
        <v>9</v>
      </c>
      <c r="J9" s="8">
        <v>10</v>
      </c>
      <c r="K9" s="9">
        <v>11</v>
      </c>
      <c r="L9" s="8">
        <v>12</v>
      </c>
      <c r="M9" s="9">
        <v>13</v>
      </c>
      <c r="N9" s="8">
        <v>14</v>
      </c>
      <c r="O9" s="9">
        <v>15</v>
      </c>
      <c r="Z9" s="11"/>
      <c r="AA9" s="11"/>
      <c r="AB9" s="11"/>
      <c r="AC9" s="11"/>
      <c r="AD9" s="11"/>
      <c r="AE9" s="11"/>
      <c r="AF9" s="11"/>
      <c r="AG9" s="11"/>
      <c r="AH9" s="11"/>
      <c r="AI9" s="11"/>
      <c r="AJ9" s="11"/>
      <c r="AK9" s="11"/>
      <c r="AL9" s="11"/>
      <c r="AM9" s="11"/>
      <c r="AN9" s="11"/>
      <c r="AO9" s="11"/>
      <c r="AP9" s="12"/>
      <c r="AQ9" s="12"/>
      <c r="AR9" s="12"/>
      <c r="AS9" s="12"/>
    </row>
    <row r="10" spans="1:45" s="53" customFormat="1" ht="18.75" customHeight="1" x14ac:dyDescent="0.25">
      <c r="A10" s="235">
        <v>901</v>
      </c>
      <c r="B10" s="433" t="s">
        <v>677</v>
      </c>
      <c r="C10" s="433"/>
      <c r="D10" s="433"/>
      <c r="E10" s="433"/>
      <c r="F10" s="433"/>
      <c r="G10" s="433"/>
      <c r="H10" s="434"/>
      <c r="I10" s="48"/>
      <c r="J10" s="49">
        <f t="shared" ref="J10:O10" si="0">J12</f>
        <v>5544.6799999999994</v>
      </c>
      <c r="K10" s="49">
        <f t="shared" si="0"/>
        <v>5268</v>
      </c>
      <c r="L10" s="49">
        <f t="shared" si="0"/>
        <v>6126.1</v>
      </c>
      <c r="M10" s="49">
        <f t="shared" si="0"/>
        <v>9018.5</v>
      </c>
      <c r="N10" s="49">
        <f t="shared" si="0"/>
        <v>7622.5</v>
      </c>
      <c r="O10" s="49">
        <f t="shared" si="0"/>
        <v>7649.8000000000011</v>
      </c>
      <c r="P10" s="54"/>
      <c r="Q10" s="50"/>
      <c r="R10" s="50"/>
      <c r="S10" s="50"/>
      <c r="T10" s="50"/>
      <c r="U10" s="50"/>
      <c r="V10" s="50"/>
      <c r="W10" s="50"/>
      <c r="X10" s="50"/>
      <c r="Y10" s="50"/>
      <c r="Z10" s="50"/>
      <c r="AA10" s="51"/>
      <c r="AB10" s="51"/>
      <c r="AC10" s="51"/>
      <c r="AD10" s="51"/>
      <c r="AE10" s="51"/>
      <c r="AF10" s="51"/>
      <c r="AG10" s="51"/>
      <c r="AH10" s="51"/>
      <c r="AI10" s="51"/>
      <c r="AJ10" s="51"/>
      <c r="AK10" s="51"/>
      <c r="AL10" s="51"/>
      <c r="AM10" s="51"/>
      <c r="AN10" s="51"/>
      <c r="AO10" s="51"/>
      <c r="AP10" s="52"/>
      <c r="AQ10" s="52"/>
      <c r="AR10" s="52"/>
      <c r="AS10" s="52"/>
    </row>
    <row r="11" spans="1:45" s="15" customFormat="1" ht="31.7" customHeight="1" x14ac:dyDescent="0.2">
      <c r="A11" s="429" t="s">
        <v>14</v>
      </c>
      <c r="B11" s="429"/>
      <c r="C11" s="429"/>
      <c r="D11" s="429"/>
      <c r="E11" s="429"/>
      <c r="F11" s="429"/>
      <c r="G11" s="429"/>
      <c r="H11" s="429"/>
      <c r="I11" s="429"/>
      <c r="J11" s="429"/>
      <c r="K11" s="429"/>
      <c r="L11" s="429"/>
      <c r="M11" s="429"/>
      <c r="N11" s="429"/>
      <c r="O11" s="429"/>
      <c r="P11" s="13"/>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row>
    <row r="12" spans="1:45" s="19" customFormat="1" ht="99" customHeight="1" x14ac:dyDescent="0.2">
      <c r="A12" s="430">
        <v>901</v>
      </c>
      <c r="B12" s="430" t="s">
        <v>15</v>
      </c>
      <c r="C12" s="16" t="s">
        <v>16</v>
      </c>
      <c r="D12" s="17" t="s">
        <v>17</v>
      </c>
      <c r="E12" s="16" t="s">
        <v>18</v>
      </c>
      <c r="F12" s="18"/>
      <c r="G12" s="18"/>
      <c r="H12" s="18"/>
      <c r="I12" s="18"/>
      <c r="J12" s="38">
        <f t="shared" ref="J12:O12" si="1">J13+J16</f>
        <v>5544.6799999999994</v>
      </c>
      <c r="K12" s="38">
        <f t="shared" si="1"/>
        <v>5268</v>
      </c>
      <c r="L12" s="38">
        <f t="shared" si="1"/>
        <v>6126.1</v>
      </c>
      <c r="M12" s="38">
        <f>M13+M16</f>
        <v>9018.5</v>
      </c>
      <c r="N12" s="38">
        <f t="shared" si="1"/>
        <v>7622.5</v>
      </c>
      <c r="O12" s="38">
        <f t="shared" si="1"/>
        <v>7649.8000000000011</v>
      </c>
    </row>
    <row r="13" spans="1:45" s="19" customFormat="1" ht="79.5" customHeight="1" x14ac:dyDescent="0.2">
      <c r="A13" s="431"/>
      <c r="B13" s="431"/>
      <c r="C13" s="16" t="s">
        <v>22</v>
      </c>
      <c r="D13" s="17" t="s">
        <v>23</v>
      </c>
      <c r="E13" s="16" t="s">
        <v>24</v>
      </c>
      <c r="F13" s="18" t="s">
        <v>19</v>
      </c>
      <c r="G13" s="18" t="s">
        <v>20</v>
      </c>
      <c r="H13" s="18" t="s">
        <v>21</v>
      </c>
      <c r="I13" s="18"/>
      <c r="J13" s="39">
        <f t="shared" ref="J13:O13" si="2">J14+J15</f>
        <v>1947.04</v>
      </c>
      <c r="K13" s="39">
        <f t="shared" si="2"/>
        <v>1841</v>
      </c>
      <c r="L13" s="39">
        <f t="shared" si="2"/>
        <v>2118.7999999999997</v>
      </c>
      <c r="M13" s="39">
        <f>M14+M15</f>
        <v>2372.1999999999998</v>
      </c>
      <c r="N13" s="39">
        <f t="shared" si="2"/>
        <v>2501.6</v>
      </c>
      <c r="O13" s="39">
        <f t="shared" si="2"/>
        <v>2501.6</v>
      </c>
    </row>
    <row r="14" spans="1:45" s="34" customFormat="1" ht="86.25" customHeight="1" x14ac:dyDescent="0.25">
      <c r="A14" s="431"/>
      <c r="B14" s="431"/>
      <c r="C14" s="23" t="s">
        <v>52</v>
      </c>
      <c r="D14" s="22"/>
      <c r="E14" s="23" t="s">
        <v>53</v>
      </c>
      <c r="F14" s="33" t="s">
        <v>19</v>
      </c>
      <c r="G14" s="33" t="s">
        <v>20</v>
      </c>
      <c r="H14" s="33" t="s">
        <v>21</v>
      </c>
      <c r="I14" s="33" t="s">
        <v>26</v>
      </c>
      <c r="J14" s="40">
        <v>1468.5</v>
      </c>
      <c r="K14" s="40">
        <v>1438.2</v>
      </c>
      <c r="L14" s="40">
        <v>1608.6</v>
      </c>
      <c r="M14" s="40">
        <f>1822+10</f>
        <v>1832</v>
      </c>
      <c r="N14" s="40">
        <f>1921.3+10</f>
        <v>1931.3</v>
      </c>
      <c r="O14" s="40">
        <f>N14</f>
        <v>1931.3</v>
      </c>
    </row>
    <row r="15" spans="1:45" s="34" customFormat="1" ht="68.25" customHeight="1" x14ac:dyDescent="0.25">
      <c r="A15" s="431"/>
      <c r="B15" s="431"/>
      <c r="C15" s="23" t="s">
        <v>29</v>
      </c>
      <c r="D15" s="22"/>
      <c r="E15" s="23" t="s">
        <v>30</v>
      </c>
      <c r="F15" s="33" t="s">
        <v>19</v>
      </c>
      <c r="G15" s="33" t="s">
        <v>20</v>
      </c>
      <c r="H15" s="33" t="s">
        <v>21</v>
      </c>
      <c r="I15" s="33" t="s">
        <v>27</v>
      </c>
      <c r="J15" s="40">
        <v>478.54</v>
      </c>
      <c r="K15" s="40">
        <v>402.8</v>
      </c>
      <c r="L15" s="40">
        <v>510.2</v>
      </c>
      <c r="M15" s="40">
        <v>540.20000000000005</v>
      </c>
      <c r="N15" s="40">
        <v>570.29999999999995</v>
      </c>
      <c r="O15" s="40">
        <f>N15</f>
        <v>570.29999999999995</v>
      </c>
    </row>
    <row r="16" spans="1:45" s="21" customFormat="1" ht="75" customHeight="1" x14ac:dyDescent="0.2">
      <c r="A16" s="431"/>
      <c r="B16" s="431"/>
      <c r="C16" s="16" t="s">
        <v>22</v>
      </c>
      <c r="D16" s="16" t="s">
        <v>23</v>
      </c>
      <c r="E16" s="16" t="s">
        <v>24</v>
      </c>
      <c r="F16" s="20" t="s">
        <v>19</v>
      </c>
      <c r="G16" s="20" t="s">
        <v>20</v>
      </c>
      <c r="H16" s="20" t="s">
        <v>25</v>
      </c>
      <c r="I16" s="20"/>
      <c r="J16" s="39">
        <f>J17+J18+J19+J20+J21+J22+J23+J24</f>
        <v>3597.6399999999994</v>
      </c>
      <c r="K16" s="39">
        <f t="shared" ref="K16:O16" si="3">K17+K18+K19+K20+K21+K22+K23+K24</f>
        <v>3427</v>
      </c>
      <c r="L16" s="39">
        <f t="shared" si="3"/>
        <v>4007.3</v>
      </c>
      <c r="M16" s="39">
        <f>M17+M18+M19+M20+M21+M22+M23+M24</f>
        <v>6646.2999999999993</v>
      </c>
      <c r="N16" s="39">
        <f t="shared" si="3"/>
        <v>5120.8999999999996</v>
      </c>
      <c r="O16" s="39">
        <f t="shared" si="3"/>
        <v>5148.2000000000007</v>
      </c>
      <c r="T16" s="37"/>
    </row>
    <row r="17" spans="1:23" s="21" customFormat="1" ht="91.5" customHeight="1" x14ac:dyDescent="0.25">
      <c r="A17" s="431"/>
      <c r="B17" s="431"/>
      <c r="C17" s="23" t="s">
        <v>52</v>
      </c>
      <c r="D17" s="22"/>
      <c r="E17" s="23" t="s">
        <v>53</v>
      </c>
      <c r="F17" s="24" t="s">
        <v>19</v>
      </c>
      <c r="G17" s="24" t="s">
        <v>20</v>
      </c>
      <c r="H17" s="24" t="s">
        <v>25</v>
      </c>
      <c r="I17" s="24" t="s">
        <v>26</v>
      </c>
      <c r="J17" s="41">
        <v>2306.1</v>
      </c>
      <c r="K17" s="41">
        <v>2259</v>
      </c>
      <c r="L17" s="42">
        <v>2624.8</v>
      </c>
      <c r="M17" s="42">
        <f>3150+10</f>
        <v>3160</v>
      </c>
      <c r="N17" s="42">
        <f>3415.9+10</f>
        <v>3425.9</v>
      </c>
      <c r="O17" s="42">
        <f>N17</f>
        <v>3425.9</v>
      </c>
      <c r="T17" s="47"/>
    </row>
    <row r="18" spans="1:23" s="21" customFormat="1" ht="50.25" customHeight="1" x14ac:dyDescent="0.25">
      <c r="A18" s="431"/>
      <c r="B18" s="431"/>
      <c r="C18" s="46" t="s">
        <v>51</v>
      </c>
      <c r="D18" s="22"/>
      <c r="E18" s="23"/>
      <c r="F18" s="24" t="s">
        <v>19</v>
      </c>
      <c r="G18" s="24" t="s">
        <v>20</v>
      </c>
      <c r="H18" s="24" t="s">
        <v>25</v>
      </c>
      <c r="I18" s="24" t="s">
        <v>28</v>
      </c>
      <c r="J18" s="41">
        <v>0</v>
      </c>
      <c r="K18" s="41">
        <v>0</v>
      </c>
      <c r="L18" s="42">
        <v>0</v>
      </c>
      <c r="M18" s="42">
        <v>8</v>
      </c>
      <c r="N18" s="42">
        <v>8</v>
      </c>
      <c r="O18" s="42">
        <v>8</v>
      </c>
    </row>
    <row r="19" spans="1:23" s="21" customFormat="1" ht="78" customHeight="1" x14ac:dyDescent="0.25">
      <c r="A19" s="431"/>
      <c r="B19" s="431"/>
      <c r="C19" s="23" t="s">
        <v>29</v>
      </c>
      <c r="D19" s="22"/>
      <c r="E19" s="23" t="s">
        <v>30</v>
      </c>
      <c r="F19" s="24" t="s">
        <v>19</v>
      </c>
      <c r="G19" s="24" t="s">
        <v>20</v>
      </c>
      <c r="H19" s="24" t="s">
        <v>25</v>
      </c>
      <c r="I19" s="24" t="s">
        <v>27</v>
      </c>
      <c r="J19" s="41">
        <v>759.1</v>
      </c>
      <c r="K19" s="41">
        <v>635.6</v>
      </c>
      <c r="L19" s="42">
        <v>783</v>
      </c>
      <c r="M19" s="42">
        <v>865.7</v>
      </c>
      <c r="N19" s="42">
        <v>1030</v>
      </c>
      <c r="O19" s="42">
        <v>1030.7</v>
      </c>
    </row>
    <row r="20" spans="1:23" s="21" customFormat="1" ht="30" customHeight="1" x14ac:dyDescent="0.25">
      <c r="A20" s="431"/>
      <c r="B20" s="431"/>
      <c r="C20" s="23"/>
      <c r="D20" s="22"/>
      <c r="E20" s="23"/>
      <c r="F20" s="24" t="s">
        <v>19</v>
      </c>
      <c r="G20" s="24" t="s">
        <v>20</v>
      </c>
      <c r="H20" s="24" t="s">
        <v>25</v>
      </c>
      <c r="I20" s="24" t="s">
        <v>41</v>
      </c>
      <c r="J20" s="41">
        <v>0</v>
      </c>
      <c r="K20" s="41">
        <v>0</v>
      </c>
      <c r="L20" s="42">
        <v>0</v>
      </c>
      <c r="M20" s="42">
        <v>0</v>
      </c>
      <c r="N20" s="42">
        <v>0</v>
      </c>
      <c r="O20" s="42">
        <v>0</v>
      </c>
    </row>
    <row r="21" spans="1:23" s="21" customFormat="1" ht="53.25" customHeight="1" x14ac:dyDescent="0.25">
      <c r="A21" s="431"/>
      <c r="B21" s="431"/>
      <c r="C21" s="26" t="s">
        <v>49</v>
      </c>
      <c r="D21" s="25"/>
      <c r="E21" s="26" t="s">
        <v>42</v>
      </c>
      <c r="F21" s="27" t="s">
        <v>19</v>
      </c>
      <c r="G21" s="27" t="s">
        <v>20</v>
      </c>
      <c r="H21" s="27" t="s">
        <v>25</v>
      </c>
      <c r="I21" s="27" t="s">
        <v>31</v>
      </c>
      <c r="J21" s="43">
        <v>529.24</v>
      </c>
      <c r="K21" s="43">
        <v>529.20000000000005</v>
      </c>
      <c r="L21" s="44">
        <v>593.5</v>
      </c>
      <c r="M21" s="44">
        <v>2604.6</v>
      </c>
      <c r="N21" s="44">
        <v>649</v>
      </c>
      <c r="O21" s="44">
        <v>675.6</v>
      </c>
    </row>
    <row r="22" spans="1:23" s="31" customFormat="1" ht="51.75" customHeight="1" x14ac:dyDescent="0.2">
      <c r="A22" s="431"/>
      <c r="B22" s="431"/>
      <c r="C22" s="28" t="s">
        <v>45</v>
      </c>
      <c r="D22" s="28" t="s">
        <v>32</v>
      </c>
      <c r="E22" s="29" t="s">
        <v>43</v>
      </c>
      <c r="F22" s="30" t="s">
        <v>19</v>
      </c>
      <c r="G22" s="30" t="s">
        <v>20</v>
      </c>
      <c r="H22" s="30" t="s">
        <v>25</v>
      </c>
      <c r="I22" s="30" t="s">
        <v>33</v>
      </c>
      <c r="J22" s="45">
        <v>0</v>
      </c>
      <c r="K22" s="45">
        <v>0</v>
      </c>
      <c r="L22" s="45">
        <v>0</v>
      </c>
      <c r="M22" s="45">
        <v>0</v>
      </c>
      <c r="N22" s="45">
        <v>0</v>
      </c>
      <c r="O22" s="45">
        <v>0</v>
      </c>
    </row>
    <row r="23" spans="1:23" s="31" customFormat="1" ht="49.5" customHeight="1" x14ac:dyDescent="0.2">
      <c r="A23" s="431"/>
      <c r="B23" s="431"/>
      <c r="C23" s="28" t="s">
        <v>46</v>
      </c>
      <c r="D23" s="28" t="s">
        <v>34</v>
      </c>
      <c r="E23" s="29" t="s">
        <v>43</v>
      </c>
      <c r="F23" s="30" t="s">
        <v>19</v>
      </c>
      <c r="G23" s="30" t="s">
        <v>20</v>
      </c>
      <c r="H23" s="30" t="s">
        <v>25</v>
      </c>
      <c r="I23" s="30" t="s">
        <v>35</v>
      </c>
      <c r="J23" s="45">
        <v>3.1</v>
      </c>
      <c r="K23" s="45">
        <v>3.1</v>
      </c>
      <c r="L23" s="45">
        <v>3.3</v>
      </c>
      <c r="M23" s="45">
        <v>4</v>
      </c>
      <c r="N23" s="45">
        <v>4</v>
      </c>
      <c r="O23" s="45">
        <v>4</v>
      </c>
    </row>
    <row r="24" spans="1:23" s="21" customFormat="1" ht="60.75" customHeight="1" x14ac:dyDescent="0.2">
      <c r="A24" s="432"/>
      <c r="B24" s="432"/>
      <c r="C24" s="28" t="s">
        <v>36</v>
      </c>
      <c r="D24" s="28" t="s">
        <v>37</v>
      </c>
      <c r="E24" s="32" t="s">
        <v>38</v>
      </c>
      <c r="F24" s="30" t="s">
        <v>19</v>
      </c>
      <c r="G24" s="30" t="s">
        <v>20</v>
      </c>
      <c r="H24" s="30" t="s">
        <v>25</v>
      </c>
      <c r="I24" s="30" t="s">
        <v>39</v>
      </c>
      <c r="J24" s="45">
        <v>0.1</v>
      </c>
      <c r="K24" s="45">
        <v>0.1</v>
      </c>
      <c r="L24" s="45">
        <v>2.7</v>
      </c>
      <c r="M24" s="45">
        <v>4</v>
      </c>
      <c r="N24" s="45">
        <v>4</v>
      </c>
      <c r="O24" s="45">
        <v>4</v>
      </c>
    </row>
    <row r="25" spans="1:23" s="59" customFormat="1" ht="27" customHeight="1" x14ac:dyDescent="0.3">
      <c r="A25" s="236">
        <v>902</v>
      </c>
      <c r="B25" s="436" t="s">
        <v>678</v>
      </c>
      <c r="C25" s="436"/>
      <c r="D25" s="436"/>
      <c r="E25" s="436"/>
      <c r="F25" s="436"/>
      <c r="G25" s="436"/>
      <c r="H25" s="437"/>
      <c r="I25" s="55"/>
      <c r="J25" s="56">
        <f t="shared" ref="J25:O25" si="4">J27+J227+J234+J247+J351+J357</f>
        <v>583819.08799999999</v>
      </c>
      <c r="K25" s="56">
        <f t="shared" si="4"/>
        <v>574605.91799999995</v>
      </c>
      <c r="L25" s="56">
        <f t="shared" si="4"/>
        <v>847944.45500000007</v>
      </c>
      <c r="M25" s="56">
        <f t="shared" si="4"/>
        <v>733194.66000000015</v>
      </c>
      <c r="N25" s="56">
        <f t="shared" si="4"/>
        <v>674951.96</v>
      </c>
      <c r="O25" s="56">
        <f t="shared" si="4"/>
        <v>674794.56</v>
      </c>
      <c r="P25" s="57"/>
      <c r="Q25" s="57"/>
      <c r="R25" s="57"/>
      <c r="S25" s="58"/>
      <c r="T25" s="58"/>
      <c r="U25" s="58"/>
      <c r="V25" s="58"/>
      <c r="W25" s="58"/>
    </row>
    <row r="26" spans="1:23" s="62" customFormat="1" ht="78.75" customHeight="1" x14ac:dyDescent="0.35">
      <c r="A26" s="438" t="s">
        <v>56</v>
      </c>
      <c r="B26" s="439"/>
      <c r="C26" s="439"/>
      <c r="D26" s="439"/>
      <c r="E26" s="439"/>
      <c r="F26" s="439"/>
      <c r="G26" s="439"/>
      <c r="H26" s="439"/>
      <c r="I26" s="439"/>
      <c r="J26" s="439"/>
      <c r="K26" s="439"/>
      <c r="L26" s="439"/>
      <c r="M26" s="439"/>
      <c r="N26" s="439"/>
      <c r="O26" s="440"/>
      <c r="P26" s="60"/>
      <c r="Q26" s="60"/>
      <c r="R26" s="61"/>
      <c r="S26" s="61"/>
      <c r="T26" s="61"/>
      <c r="U26" s="60"/>
      <c r="V26" s="60"/>
      <c r="W26" s="60"/>
    </row>
    <row r="27" spans="1:23" s="64" customFormat="1" ht="31.9" customHeight="1" x14ac:dyDescent="0.3">
      <c r="A27" s="237">
        <v>902</v>
      </c>
      <c r="B27" s="441"/>
      <c r="C27" s="442"/>
      <c r="D27" s="442"/>
      <c r="E27" s="442"/>
      <c r="F27" s="442"/>
      <c r="G27" s="442"/>
      <c r="H27" s="442"/>
      <c r="I27" s="443"/>
      <c r="J27" s="234">
        <f>J28+J75+J101+J106+J109+J112+J117+J123+J125+J127+J179+J180+J182+J186+J189+J194+J195+J223</f>
        <v>361204.74799999991</v>
      </c>
      <c r="K27" s="234">
        <f t="shared" ref="K27:O27" si="5">K28+K75+K101+K106+K109+K112+K117+K123+K125+K127+K179+K180+K182+K186+K189+K194+K195+K223</f>
        <v>352589.02799999999</v>
      </c>
      <c r="L27" s="234">
        <f t="shared" si="5"/>
        <v>443431.66499999998</v>
      </c>
      <c r="M27" s="234">
        <f t="shared" si="5"/>
        <v>508633.26</v>
      </c>
      <c r="N27" s="234">
        <f t="shared" si="5"/>
        <v>502605.56</v>
      </c>
      <c r="O27" s="234">
        <f t="shared" si="5"/>
        <v>500484.96</v>
      </c>
      <c r="P27" s="58"/>
      <c r="Q27" s="57"/>
      <c r="R27" s="58"/>
      <c r="S27" s="58"/>
      <c r="T27" s="58"/>
      <c r="U27" s="63"/>
      <c r="V27" s="63"/>
      <c r="W27" s="63"/>
    </row>
    <row r="28" spans="1:23" s="66" customFormat="1" ht="69.75" customHeight="1" x14ac:dyDescent="0.3">
      <c r="A28" s="238">
        <v>902</v>
      </c>
      <c r="B28" s="239" t="s">
        <v>57</v>
      </c>
      <c r="C28" s="240"/>
      <c r="D28" s="241"/>
      <c r="E28" s="242"/>
      <c r="F28" s="243"/>
      <c r="G28" s="243"/>
      <c r="H28" s="243"/>
      <c r="I28" s="243"/>
      <c r="J28" s="244">
        <f>J29+J33+J50+J55+J60+J65+J70+J46</f>
        <v>154903.67799999996</v>
      </c>
      <c r="K28" s="244">
        <f t="shared" ref="K28:O28" si="6">K29+K33+K50+K55+K60+K65+K70+K46</f>
        <v>146692.67799999999</v>
      </c>
      <c r="L28" s="244">
        <f t="shared" si="6"/>
        <v>176734.96999999997</v>
      </c>
      <c r="M28" s="244">
        <f t="shared" si="6"/>
        <v>182421.5</v>
      </c>
      <c r="N28" s="244">
        <f>N29+N33+N50+N55+N60+N65+N70+N46</f>
        <v>188246.9</v>
      </c>
      <c r="O28" s="244">
        <f t="shared" si="6"/>
        <v>199864.8</v>
      </c>
      <c r="P28" s="58"/>
      <c r="Q28" s="58"/>
      <c r="R28" s="58"/>
      <c r="S28" s="58"/>
      <c r="T28" s="58"/>
      <c r="U28" s="65"/>
      <c r="V28" s="65"/>
      <c r="W28" s="65"/>
    </row>
    <row r="29" spans="1:23" s="74" customFormat="1" ht="32.25" customHeight="1" x14ac:dyDescent="0.3">
      <c r="A29" s="444">
        <v>902</v>
      </c>
      <c r="B29" s="416" t="s">
        <v>57</v>
      </c>
      <c r="C29" s="20" t="s">
        <v>16</v>
      </c>
      <c r="D29" s="67" t="s">
        <v>58</v>
      </c>
      <c r="E29" s="68" t="s">
        <v>59</v>
      </c>
      <c r="F29" s="69" t="s">
        <v>19</v>
      </c>
      <c r="G29" s="70" t="s">
        <v>60</v>
      </c>
      <c r="H29" s="70"/>
      <c r="I29" s="70"/>
      <c r="J29" s="71">
        <f>J30+J32</f>
        <v>1910.3000000000002</v>
      </c>
      <c r="K29" s="71">
        <f t="shared" ref="K29:L29" si="7">K30+K32</f>
        <v>1816.5</v>
      </c>
      <c r="L29" s="71">
        <f t="shared" si="7"/>
        <v>2332.4300000000003</v>
      </c>
      <c r="M29" s="71">
        <f>M30+M31+M32</f>
        <v>2890.4</v>
      </c>
      <c r="N29" s="71">
        <f t="shared" ref="N29:O29" si="8">N30+N31+N32</f>
        <v>3047.9</v>
      </c>
      <c r="O29" s="71">
        <f t="shared" si="8"/>
        <v>3047.9</v>
      </c>
      <c r="P29" s="72"/>
      <c r="Q29" s="72"/>
      <c r="R29" s="72"/>
      <c r="S29" s="72"/>
      <c r="T29" s="73"/>
      <c r="U29" s="73"/>
      <c r="V29" s="73"/>
      <c r="W29" s="73"/>
    </row>
    <row r="30" spans="1:23" s="79" customFormat="1" ht="95.25" customHeight="1" x14ac:dyDescent="0.3">
      <c r="A30" s="444"/>
      <c r="B30" s="417"/>
      <c r="C30" s="75" t="s">
        <v>61</v>
      </c>
      <c r="D30" s="76" t="s">
        <v>62</v>
      </c>
      <c r="E30" s="76" t="s">
        <v>63</v>
      </c>
      <c r="F30" s="421" t="s">
        <v>19</v>
      </c>
      <c r="G30" s="421" t="s">
        <v>60</v>
      </c>
      <c r="H30" s="424" t="s">
        <v>21</v>
      </c>
      <c r="I30" s="77" t="s">
        <v>26</v>
      </c>
      <c r="J30" s="78">
        <v>1472.4</v>
      </c>
      <c r="K30" s="78">
        <v>1443.4</v>
      </c>
      <c r="L30" s="78">
        <v>1783.93</v>
      </c>
      <c r="M30" s="78">
        <v>2220</v>
      </c>
      <c r="N30" s="78">
        <v>2341</v>
      </c>
      <c r="O30" s="78">
        <v>2341</v>
      </c>
      <c r="P30" s="58"/>
      <c r="Q30" s="58"/>
      <c r="R30" s="58"/>
      <c r="S30" s="58"/>
      <c r="T30" s="58"/>
      <c r="U30" s="58"/>
      <c r="V30" s="58"/>
      <c r="W30" s="58"/>
    </row>
    <row r="31" spans="1:23" s="79" customFormat="1" ht="101.25" customHeight="1" x14ac:dyDescent="0.3">
      <c r="A31" s="444"/>
      <c r="B31" s="417"/>
      <c r="C31" s="80" t="s">
        <v>64</v>
      </c>
      <c r="D31" s="81" t="s">
        <v>65</v>
      </c>
      <c r="E31" s="82" t="s">
        <v>66</v>
      </c>
      <c r="F31" s="422"/>
      <c r="G31" s="422"/>
      <c r="H31" s="425"/>
      <c r="I31" s="77" t="s">
        <v>28</v>
      </c>
      <c r="J31" s="78">
        <v>0</v>
      </c>
      <c r="K31" s="78">
        <v>0</v>
      </c>
      <c r="L31" s="78">
        <v>0</v>
      </c>
      <c r="M31" s="78">
        <v>110</v>
      </c>
      <c r="N31" s="78">
        <v>110</v>
      </c>
      <c r="O31" s="78">
        <v>110</v>
      </c>
      <c r="P31" s="58"/>
      <c r="Q31" s="58"/>
      <c r="R31" s="58"/>
      <c r="S31" s="58"/>
      <c r="T31" s="58"/>
      <c r="U31" s="58"/>
      <c r="V31" s="58"/>
      <c r="W31" s="58"/>
    </row>
    <row r="32" spans="1:23" s="79" customFormat="1" ht="78.75" customHeight="1" x14ac:dyDescent="0.3">
      <c r="A32" s="444"/>
      <c r="B32" s="417"/>
      <c r="C32" s="80" t="s">
        <v>67</v>
      </c>
      <c r="D32" s="83"/>
      <c r="E32" s="82" t="s">
        <v>68</v>
      </c>
      <c r="F32" s="423"/>
      <c r="G32" s="423"/>
      <c r="H32" s="426"/>
      <c r="I32" s="77" t="s">
        <v>27</v>
      </c>
      <c r="J32" s="78">
        <v>437.9</v>
      </c>
      <c r="K32" s="78">
        <v>373.1</v>
      </c>
      <c r="L32" s="78">
        <v>548.5</v>
      </c>
      <c r="M32" s="78">
        <v>560.4</v>
      </c>
      <c r="N32" s="78">
        <v>596.9</v>
      </c>
      <c r="O32" s="78">
        <v>596.9</v>
      </c>
      <c r="P32" s="57"/>
      <c r="Q32" s="58"/>
      <c r="R32" s="58"/>
      <c r="S32" s="57"/>
      <c r="T32" s="58"/>
      <c r="U32" s="58"/>
      <c r="V32" s="58"/>
      <c r="W32" s="58"/>
    </row>
    <row r="33" spans="1:23" s="79" customFormat="1" ht="94.5" customHeight="1" x14ac:dyDescent="0.3">
      <c r="A33" s="444"/>
      <c r="B33" s="245" t="s">
        <v>57</v>
      </c>
      <c r="C33" s="80" t="s">
        <v>69</v>
      </c>
      <c r="D33" s="82" t="s">
        <v>70</v>
      </c>
      <c r="E33" s="82" t="s">
        <v>71</v>
      </c>
      <c r="F33" s="70" t="s">
        <v>19</v>
      </c>
      <c r="G33" s="70" t="s">
        <v>72</v>
      </c>
      <c r="H33" s="70" t="s">
        <v>73</v>
      </c>
      <c r="I33" s="70"/>
      <c r="J33" s="71">
        <f>J34+J35+J36+J38+J39+J40+J41+J42+J43+J44+J45</f>
        <v>127029.89999999998</v>
      </c>
      <c r="K33" s="71">
        <f t="shared" ref="K33:O33" si="9">K34+K35+K36+K38+K39+K40+K41+K42+K43+K44+K45</f>
        <v>120352.23</v>
      </c>
      <c r="L33" s="71">
        <f t="shared" si="9"/>
        <v>143556.15999999997</v>
      </c>
      <c r="M33" s="71">
        <f t="shared" si="9"/>
        <v>142735</v>
      </c>
      <c r="N33" s="71">
        <f t="shared" si="9"/>
        <v>147986.29999999999</v>
      </c>
      <c r="O33" s="71">
        <f t="shared" si="9"/>
        <v>159580.6</v>
      </c>
      <c r="P33" s="57"/>
      <c r="Q33" s="57"/>
      <c r="R33" s="57"/>
      <c r="S33" s="57"/>
      <c r="T33" s="57"/>
      <c r="U33" s="57"/>
      <c r="V33" s="58"/>
      <c r="W33" s="58"/>
    </row>
    <row r="34" spans="1:23" s="79" customFormat="1" ht="82.5" customHeight="1" x14ac:dyDescent="0.3">
      <c r="A34" s="444"/>
      <c r="B34" s="246"/>
      <c r="C34" s="84" t="s">
        <v>74</v>
      </c>
      <c r="D34" s="85"/>
      <c r="E34" s="76" t="s">
        <v>75</v>
      </c>
      <c r="F34" s="77"/>
      <c r="G34" s="77"/>
      <c r="H34" s="77"/>
      <c r="I34" s="77" t="s">
        <v>26</v>
      </c>
      <c r="J34" s="78">
        <v>90505.9</v>
      </c>
      <c r="K34" s="78">
        <v>88841</v>
      </c>
      <c r="L34" s="78">
        <v>101741.6</v>
      </c>
      <c r="M34" s="78">
        <v>96168</v>
      </c>
      <c r="N34" s="78">
        <v>98168</v>
      </c>
      <c r="O34" s="78">
        <v>105198</v>
      </c>
      <c r="P34" s="57"/>
      <c r="Q34" s="58"/>
      <c r="R34" s="58"/>
      <c r="S34" s="58"/>
      <c r="T34" s="58"/>
      <c r="U34" s="58"/>
      <c r="V34" s="58"/>
      <c r="W34" s="58"/>
    </row>
    <row r="35" spans="1:23" s="79" customFormat="1" ht="61.5" customHeight="1" x14ac:dyDescent="0.3">
      <c r="A35" s="444"/>
      <c r="B35" s="246"/>
      <c r="C35" s="82" t="s">
        <v>76</v>
      </c>
      <c r="D35" s="86"/>
      <c r="E35" s="82" t="s">
        <v>68</v>
      </c>
      <c r="F35" s="77"/>
      <c r="G35" s="77"/>
      <c r="H35" s="77"/>
      <c r="I35" s="77" t="s">
        <v>27</v>
      </c>
      <c r="J35" s="78">
        <v>29754.2</v>
      </c>
      <c r="K35" s="78">
        <v>24758.1</v>
      </c>
      <c r="L35" s="78">
        <v>34361.24</v>
      </c>
      <c r="M35" s="78">
        <v>40600.6</v>
      </c>
      <c r="N35" s="78">
        <v>43186.8</v>
      </c>
      <c r="O35" s="78">
        <v>47502.5</v>
      </c>
      <c r="P35" s="58"/>
      <c r="Q35" s="58"/>
      <c r="R35" s="58"/>
      <c r="S35" s="58"/>
      <c r="T35" s="58"/>
      <c r="U35" s="58"/>
      <c r="V35" s="58"/>
      <c r="W35" s="58"/>
    </row>
    <row r="36" spans="1:23" s="79" customFormat="1" ht="97.5" customHeight="1" x14ac:dyDescent="0.3">
      <c r="A36" s="444"/>
      <c r="B36" s="246"/>
      <c r="C36" s="80" t="s">
        <v>64</v>
      </c>
      <c r="D36" s="81" t="s">
        <v>65</v>
      </c>
      <c r="E36" s="82" t="s">
        <v>77</v>
      </c>
      <c r="F36" s="77"/>
      <c r="G36" s="77"/>
      <c r="H36" s="77"/>
      <c r="I36" s="77" t="s">
        <v>28</v>
      </c>
      <c r="J36" s="78">
        <v>273.89999999999998</v>
      </c>
      <c r="K36" s="78">
        <v>273.89999999999998</v>
      </c>
      <c r="L36" s="78">
        <v>2427.5</v>
      </c>
      <c r="M36" s="78">
        <v>300</v>
      </c>
      <c r="N36" s="78">
        <v>300</v>
      </c>
      <c r="O36" s="78">
        <v>300</v>
      </c>
      <c r="P36" s="58"/>
      <c r="Q36" s="58"/>
      <c r="R36" s="58"/>
      <c r="S36" s="58"/>
      <c r="T36" s="58"/>
      <c r="U36" s="58"/>
      <c r="V36" s="58"/>
      <c r="W36" s="58"/>
    </row>
    <row r="37" spans="1:23" s="79" customFormat="1" ht="114.75" hidden="1" x14ac:dyDescent="0.3">
      <c r="A37" s="444"/>
      <c r="B37" s="246"/>
      <c r="C37" s="80" t="s">
        <v>78</v>
      </c>
      <c r="D37" s="87"/>
      <c r="E37" s="82" t="s">
        <v>79</v>
      </c>
      <c r="F37" s="77"/>
      <c r="G37" s="77"/>
      <c r="H37" s="77"/>
      <c r="I37" s="77" t="s">
        <v>41</v>
      </c>
      <c r="J37" s="78"/>
      <c r="K37" s="78"/>
      <c r="L37" s="78"/>
      <c r="M37" s="78"/>
      <c r="N37" s="78"/>
      <c r="O37" s="78"/>
      <c r="P37" s="58"/>
      <c r="Q37" s="58"/>
      <c r="R37" s="58"/>
      <c r="S37" s="58"/>
      <c r="T37" s="58"/>
      <c r="U37" s="58"/>
      <c r="V37" s="58"/>
      <c r="W37" s="58"/>
    </row>
    <row r="38" spans="1:23" s="79" customFormat="1" ht="39" customHeight="1" x14ac:dyDescent="0.3">
      <c r="A38" s="444"/>
      <c r="B38" s="246"/>
      <c r="C38" s="80"/>
      <c r="D38" s="81"/>
      <c r="E38" s="82"/>
      <c r="F38" s="77"/>
      <c r="G38" s="77"/>
      <c r="H38" s="77"/>
      <c r="I38" s="77" t="s">
        <v>41</v>
      </c>
      <c r="J38" s="78">
        <v>0</v>
      </c>
      <c r="K38" s="78">
        <v>0</v>
      </c>
      <c r="L38" s="78">
        <v>0</v>
      </c>
      <c r="M38" s="78">
        <v>0</v>
      </c>
      <c r="N38" s="78">
        <v>0</v>
      </c>
      <c r="O38" s="78">
        <v>0</v>
      </c>
      <c r="P38" s="58"/>
      <c r="Q38" s="58"/>
      <c r="R38" s="58"/>
      <c r="S38" s="58"/>
      <c r="T38" s="58"/>
      <c r="U38" s="58"/>
      <c r="V38" s="58"/>
      <c r="W38" s="58"/>
    </row>
    <row r="39" spans="1:23" s="79" customFormat="1" ht="102" customHeight="1" x14ac:dyDescent="0.3">
      <c r="A39" s="444"/>
      <c r="B39" s="246"/>
      <c r="C39" s="84" t="s">
        <v>80</v>
      </c>
      <c r="D39" s="247" t="s">
        <v>81</v>
      </c>
      <c r="E39" s="82" t="s">
        <v>82</v>
      </c>
      <c r="F39" s="77"/>
      <c r="G39" s="77"/>
      <c r="H39" s="77"/>
      <c r="I39" s="77" t="s">
        <v>31</v>
      </c>
      <c r="J39" s="78">
        <v>5251.7</v>
      </c>
      <c r="K39" s="78">
        <v>5235</v>
      </c>
      <c r="L39" s="78">
        <v>4765.8999999999996</v>
      </c>
      <c r="M39" s="78">
        <v>5266.4</v>
      </c>
      <c r="N39" s="78">
        <v>5931.5</v>
      </c>
      <c r="O39" s="78">
        <v>6180.1</v>
      </c>
      <c r="P39" s="58"/>
      <c r="Q39" s="58"/>
      <c r="R39" s="58"/>
      <c r="S39" s="58"/>
      <c r="T39" s="58"/>
      <c r="U39" s="58"/>
      <c r="V39" s="58"/>
      <c r="W39" s="58"/>
    </row>
    <row r="40" spans="1:23" s="79" customFormat="1" ht="20.45" customHeight="1" x14ac:dyDescent="0.3">
      <c r="A40" s="444"/>
      <c r="B40" s="246"/>
      <c r="C40" s="248"/>
      <c r="D40" s="88"/>
      <c r="E40" s="82"/>
      <c r="F40" s="77"/>
      <c r="G40" s="77"/>
      <c r="H40" s="77"/>
      <c r="I40" s="77" t="s">
        <v>83</v>
      </c>
      <c r="J40" s="78">
        <v>0</v>
      </c>
      <c r="K40" s="78">
        <v>0</v>
      </c>
      <c r="L40" s="78">
        <v>1.77</v>
      </c>
      <c r="M40" s="78">
        <v>0</v>
      </c>
      <c r="N40" s="78">
        <v>0</v>
      </c>
      <c r="O40" s="78">
        <v>0</v>
      </c>
      <c r="P40" s="58"/>
      <c r="Q40" s="58"/>
      <c r="R40" s="58"/>
      <c r="S40" s="58"/>
      <c r="T40" s="58"/>
      <c r="U40" s="58"/>
      <c r="V40" s="58"/>
      <c r="W40" s="58"/>
    </row>
    <row r="41" spans="1:23" s="79" customFormat="1" ht="62.25" customHeight="1" x14ac:dyDescent="0.3">
      <c r="A41" s="444"/>
      <c r="B41" s="246"/>
      <c r="C41" s="80" t="s">
        <v>84</v>
      </c>
      <c r="D41" s="89" t="s">
        <v>85</v>
      </c>
      <c r="E41" s="82" t="s">
        <v>86</v>
      </c>
      <c r="F41" s="77"/>
      <c r="G41" s="77"/>
      <c r="H41" s="77"/>
      <c r="I41" s="77" t="s">
        <v>87</v>
      </c>
      <c r="J41" s="78">
        <v>605.20000000000005</v>
      </c>
      <c r="K41" s="78">
        <v>605.20000000000005</v>
      </c>
      <c r="L41" s="78">
        <v>0</v>
      </c>
      <c r="M41" s="78">
        <v>0</v>
      </c>
      <c r="N41" s="78">
        <v>0</v>
      </c>
      <c r="O41" s="78">
        <v>0</v>
      </c>
      <c r="P41" s="58"/>
      <c r="Q41" s="58"/>
      <c r="R41" s="58"/>
      <c r="S41" s="58"/>
      <c r="T41" s="58"/>
      <c r="U41" s="58"/>
      <c r="V41" s="58"/>
      <c r="W41" s="58"/>
    </row>
    <row r="42" spans="1:23" s="79" customFormat="1" ht="60.75" customHeight="1" x14ac:dyDescent="0.3">
      <c r="A42" s="444"/>
      <c r="B42" s="246"/>
      <c r="C42" s="90" t="s">
        <v>88</v>
      </c>
      <c r="D42" s="91"/>
      <c r="E42" s="82" t="s">
        <v>89</v>
      </c>
      <c r="F42" s="77"/>
      <c r="G42" s="77"/>
      <c r="H42" s="77"/>
      <c r="I42" s="77" t="s">
        <v>90</v>
      </c>
      <c r="J42" s="92">
        <v>173.5</v>
      </c>
      <c r="K42" s="92">
        <v>173.51</v>
      </c>
      <c r="L42" s="92">
        <v>150</v>
      </c>
      <c r="M42" s="92">
        <v>200</v>
      </c>
      <c r="N42" s="92">
        <v>200</v>
      </c>
      <c r="O42" s="78">
        <v>200</v>
      </c>
      <c r="P42" s="58"/>
      <c r="Q42" s="58"/>
      <c r="R42" s="58"/>
      <c r="S42" s="58"/>
      <c r="T42" s="58"/>
      <c r="U42" s="58"/>
      <c r="V42" s="58"/>
      <c r="W42" s="58"/>
    </row>
    <row r="43" spans="1:23" s="79" customFormat="1" ht="62.25" customHeight="1" x14ac:dyDescent="0.3">
      <c r="A43" s="444"/>
      <c r="B43" s="246"/>
      <c r="C43" s="80" t="s">
        <v>91</v>
      </c>
      <c r="D43" s="80" t="s">
        <v>32</v>
      </c>
      <c r="E43" s="82" t="s">
        <v>43</v>
      </c>
      <c r="F43" s="77"/>
      <c r="G43" s="77"/>
      <c r="H43" s="77"/>
      <c r="I43" s="77" t="s">
        <v>33</v>
      </c>
      <c r="J43" s="92">
        <v>102.2</v>
      </c>
      <c r="K43" s="92">
        <v>102.21</v>
      </c>
      <c r="L43" s="92">
        <v>0</v>
      </c>
      <c r="M43" s="92">
        <v>0</v>
      </c>
      <c r="N43" s="92">
        <v>0</v>
      </c>
      <c r="O43" s="78">
        <v>0</v>
      </c>
      <c r="P43" s="58"/>
      <c r="Q43" s="58"/>
      <c r="R43" s="58"/>
      <c r="S43" s="58"/>
      <c r="T43" s="58"/>
      <c r="U43" s="58"/>
      <c r="V43" s="58"/>
      <c r="W43" s="58"/>
    </row>
    <row r="44" spans="1:23" s="79" customFormat="1" ht="41.45" customHeight="1" x14ac:dyDescent="0.3">
      <c r="A44" s="444"/>
      <c r="B44" s="246"/>
      <c r="C44" s="80" t="s">
        <v>92</v>
      </c>
      <c r="D44" s="80" t="s">
        <v>34</v>
      </c>
      <c r="E44" s="82" t="s">
        <v>43</v>
      </c>
      <c r="F44" s="77"/>
      <c r="G44" s="77"/>
      <c r="H44" s="77"/>
      <c r="I44" s="77" t="s">
        <v>35</v>
      </c>
      <c r="J44" s="92">
        <v>59.8</v>
      </c>
      <c r="K44" s="92">
        <v>59.8</v>
      </c>
      <c r="L44" s="92">
        <v>13.35</v>
      </c>
      <c r="M44" s="92">
        <v>25</v>
      </c>
      <c r="N44" s="92">
        <v>25</v>
      </c>
      <c r="O44" s="78">
        <v>25</v>
      </c>
      <c r="P44" s="58"/>
      <c r="Q44" s="58"/>
      <c r="R44" s="58"/>
      <c r="S44" s="58"/>
      <c r="T44" s="58"/>
      <c r="U44" s="58"/>
      <c r="V44" s="58"/>
      <c r="W44" s="58"/>
    </row>
    <row r="45" spans="1:23" s="79" customFormat="1" ht="68.25" customHeight="1" x14ac:dyDescent="0.3">
      <c r="A45" s="444"/>
      <c r="B45" s="246"/>
      <c r="C45" s="82" t="s">
        <v>93</v>
      </c>
      <c r="D45" s="80" t="s">
        <v>37</v>
      </c>
      <c r="E45" s="82" t="s">
        <v>94</v>
      </c>
      <c r="F45" s="77"/>
      <c r="G45" s="77"/>
      <c r="H45" s="77"/>
      <c r="I45" s="77" t="s">
        <v>39</v>
      </c>
      <c r="J45" s="92">
        <v>303.5</v>
      </c>
      <c r="K45" s="92">
        <v>303.51</v>
      </c>
      <c r="L45" s="92">
        <v>94.8</v>
      </c>
      <c r="M45" s="92">
        <v>175</v>
      </c>
      <c r="N45" s="92">
        <v>175</v>
      </c>
      <c r="O45" s="78">
        <v>175</v>
      </c>
      <c r="P45" s="57"/>
      <c r="Q45" s="58"/>
      <c r="R45" s="58"/>
      <c r="S45" s="58"/>
      <c r="T45" s="58"/>
      <c r="U45" s="58"/>
      <c r="V45" s="58"/>
      <c r="W45" s="58"/>
    </row>
    <row r="46" spans="1:23" s="79" customFormat="1" ht="90.75" customHeight="1" x14ac:dyDescent="0.3">
      <c r="A46" s="444"/>
      <c r="B46" s="246"/>
      <c r="C46" s="80" t="s">
        <v>95</v>
      </c>
      <c r="D46" s="80" t="s">
        <v>96</v>
      </c>
      <c r="E46" s="82" t="s">
        <v>71</v>
      </c>
      <c r="F46" s="69" t="s">
        <v>19</v>
      </c>
      <c r="G46" s="69" t="s">
        <v>72</v>
      </c>
      <c r="H46" s="69" t="s">
        <v>97</v>
      </c>
      <c r="I46" s="69"/>
      <c r="J46" s="71">
        <f>J47+J48+J49</f>
        <v>0</v>
      </c>
      <c r="K46" s="71">
        <f t="shared" ref="K46:O46" si="10">K47+K48+K49</f>
        <v>0</v>
      </c>
      <c r="L46" s="71">
        <f t="shared" si="10"/>
        <v>999.99</v>
      </c>
      <c r="M46" s="71">
        <f t="shared" si="10"/>
        <v>1500</v>
      </c>
      <c r="N46" s="71">
        <f t="shared" si="10"/>
        <v>0</v>
      </c>
      <c r="O46" s="71">
        <f t="shared" si="10"/>
        <v>0</v>
      </c>
      <c r="P46" s="58"/>
      <c r="Q46" s="57"/>
      <c r="R46" s="57"/>
      <c r="S46" s="57"/>
      <c r="T46" s="57"/>
      <c r="U46" s="57"/>
      <c r="V46" s="58"/>
      <c r="W46" s="58"/>
    </row>
    <row r="47" spans="1:23" s="79" customFormat="1" ht="69" customHeight="1" x14ac:dyDescent="0.3">
      <c r="A47" s="444"/>
      <c r="B47" s="246"/>
      <c r="C47" s="80" t="s">
        <v>98</v>
      </c>
      <c r="D47" s="80" t="s">
        <v>99</v>
      </c>
      <c r="E47" s="82" t="s">
        <v>100</v>
      </c>
      <c r="F47" s="77"/>
      <c r="G47" s="77"/>
      <c r="H47" s="77"/>
      <c r="I47" s="77" t="s">
        <v>26</v>
      </c>
      <c r="J47" s="92">
        <v>0</v>
      </c>
      <c r="K47" s="92">
        <v>0</v>
      </c>
      <c r="L47" s="92">
        <v>585.23</v>
      </c>
      <c r="M47" s="92">
        <v>947.3</v>
      </c>
      <c r="N47" s="92">
        <v>0</v>
      </c>
      <c r="O47" s="78">
        <v>0</v>
      </c>
      <c r="P47" s="57"/>
      <c r="Q47" s="58"/>
      <c r="R47" s="58"/>
      <c r="S47" s="58"/>
      <c r="T47" s="58"/>
      <c r="U47" s="58"/>
      <c r="V47" s="58"/>
      <c r="W47" s="58"/>
    </row>
    <row r="48" spans="1:23" s="79" customFormat="1" ht="67.5" customHeight="1" x14ac:dyDescent="0.3">
      <c r="A48" s="444"/>
      <c r="B48" s="246"/>
      <c r="C48" s="82" t="s">
        <v>101</v>
      </c>
      <c r="D48" s="80"/>
      <c r="E48" s="82" t="s">
        <v>102</v>
      </c>
      <c r="F48" s="77"/>
      <c r="G48" s="77"/>
      <c r="H48" s="77"/>
      <c r="I48" s="77" t="s">
        <v>27</v>
      </c>
      <c r="J48" s="92">
        <v>0</v>
      </c>
      <c r="K48" s="92">
        <v>0</v>
      </c>
      <c r="L48" s="92">
        <v>33.06</v>
      </c>
      <c r="M48" s="92">
        <v>402.7</v>
      </c>
      <c r="N48" s="92">
        <v>0</v>
      </c>
      <c r="O48" s="78">
        <v>0</v>
      </c>
      <c r="P48" s="57"/>
      <c r="Q48" s="58"/>
      <c r="R48" s="58"/>
      <c r="S48" s="58"/>
      <c r="T48" s="58"/>
      <c r="U48" s="58"/>
      <c r="V48" s="58"/>
      <c r="W48" s="58"/>
    </row>
    <row r="49" spans="1:23" s="79" customFormat="1" ht="90" customHeight="1" x14ac:dyDescent="0.3">
      <c r="A49" s="444"/>
      <c r="B49" s="246"/>
      <c r="C49" s="82" t="s">
        <v>80</v>
      </c>
      <c r="D49" s="80" t="s">
        <v>103</v>
      </c>
      <c r="E49" s="82" t="s">
        <v>104</v>
      </c>
      <c r="F49" s="77"/>
      <c r="G49" s="77"/>
      <c r="H49" s="77"/>
      <c r="I49" s="77" t="s">
        <v>31</v>
      </c>
      <c r="J49" s="92">
        <v>0</v>
      </c>
      <c r="K49" s="92">
        <v>0</v>
      </c>
      <c r="L49" s="92">
        <v>381.7</v>
      </c>
      <c r="M49" s="92">
        <v>150</v>
      </c>
      <c r="N49" s="92">
        <v>0</v>
      </c>
      <c r="O49" s="78">
        <v>0</v>
      </c>
      <c r="P49" s="57"/>
      <c r="Q49" s="58"/>
      <c r="R49" s="58"/>
      <c r="S49" s="58"/>
      <c r="T49" s="58"/>
      <c r="U49" s="58"/>
      <c r="V49" s="58"/>
      <c r="W49" s="58"/>
    </row>
    <row r="50" spans="1:23" s="79" customFormat="1" ht="101.25" customHeight="1" x14ac:dyDescent="0.3">
      <c r="A50" s="444"/>
      <c r="B50" s="246"/>
      <c r="C50" s="80" t="s">
        <v>69</v>
      </c>
      <c r="D50" s="80"/>
      <c r="E50" s="82" t="s">
        <v>71</v>
      </c>
      <c r="F50" s="69" t="s">
        <v>72</v>
      </c>
      <c r="G50" s="69" t="s">
        <v>105</v>
      </c>
      <c r="H50" s="69" t="s">
        <v>73</v>
      </c>
      <c r="I50" s="69"/>
      <c r="J50" s="71">
        <f>J51+J52+J53+J54</f>
        <v>5154.3099999999995</v>
      </c>
      <c r="K50" s="71">
        <f t="shared" ref="K50:O50" si="11">K51+K52+K53+K54</f>
        <v>4890.95</v>
      </c>
      <c r="L50" s="71">
        <f t="shared" si="11"/>
        <v>6850.0099999999993</v>
      </c>
      <c r="M50" s="71">
        <f t="shared" si="11"/>
        <v>7904.0999999999995</v>
      </c>
      <c r="N50" s="71">
        <f t="shared" si="11"/>
        <v>8333.0999999999985</v>
      </c>
      <c r="O50" s="71">
        <f t="shared" si="11"/>
        <v>8339.6999999999989</v>
      </c>
      <c r="P50" s="58"/>
      <c r="Q50" s="57"/>
      <c r="R50" s="57"/>
      <c r="S50" s="57"/>
      <c r="T50" s="57"/>
      <c r="U50" s="57"/>
      <c r="V50" s="58"/>
      <c r="W50" s="58"/>
    </row>
    <row r="51" spans="1:23" s="79" customFormat="1" ht="120" customHeight="1" x14ac:dyDescent="0.3">
      <c r="A51" s="444"/>
      <c r="B51" s="246"/>
      <c r="C51" s="80" t="s">
        <v>98</v>
      </c>
      <c r="D51" s="80" t="s">
        <v>99</v>
      </c>
      <c r="E51" s="82" t="s">
        <v>100</v>
      </c>
      <c r="F51" s="77"/>
      <c r="G51" s="77"/>
      <c r="H51" s="77"/>
      <c r="I51" s="77" t="s">
        <v>26</v>
      </c>
      <c r="J51" s="78">
        <v>3860.35</v>
      </c>
      <c r="K51" s="78">
        <v>3792.84</v>
      </c>
      <c r="L51" s="78">
        <v>5078.41</v>
      </c>
      <c r="M51" s="78">
        <v>5738.2</v>
      </c>
      <c r="N51" s="78">
        <v>6138.2</v>
      </c>
      <c r="O51" s="78">
        <v>6138.2</v>
      </c>
      <c r="P51" s="58"/>
      <c r="Q51" s="57"/>
      <c r="R51" s="58"/>
      <c r="S51" s="58"/>
      <c r="T51" s="58"/>
      <c r="U51" s="58"/>
      <c r="V51" s="58"/>
      <c r="W51" s="58"/>
    </row>
    <row r="52" spans="1:23" s="79" customFormat="1" ht="81" customHeight="1" x14ac:dyDescent="0.3">
      <c r="A52" s="444"/>
      <c r="B52" s="246"/>
      <c r="C52" s="82" t="s">
        <v>106</v>
      </c>
      <c r="D52" s="81" t="s">
        <v>65</v>
      </c>
      <c r="E52" s="82" t="s">
        <v>107</v>
      </c>
      <c r="F52" s="77"/>
      <c r="G52" s="77"/>
      <c r="H52" s="77"/>
      <c r="I52" s="77" t="s">
        <v>28</v>
      </c>
      <c r="J52" s="92">
        <v>0</v>
      </c>
      <c r="K52" s="92">
        <v>0</v>
      </c>
      <c r="L52" s="92">
        <v>0</v>
      </c>
      <c r="M52" s="92">
        <v>13</v>
      </c>
      <c r="N52" s="92">
        <v>13</v>
      </c>
      <c r="O52" s="92">
        <v>13</v>
      </c>
      <c r="P52" s="58"/>
      <c r="Q52" s="58"/>
      <c r="R52" s="58"/>
      <c r="S52" s="58"/>
      <c r="T52" s="58"/>
      <c r="U52" s="58"/>
      <c r="V52" s="58"/>
      <c r="W52" s="58"/>
    </row>
    <row r="53" spans="1:23" s="79" customFormat="1" ht="120.6" customHeight="1" x14ac:dyDescent="0.3">
      <c r="A53" s="444"/>
      <c r="B53" s="246"/>
      <c r="C53" s="82" t="s">
        <v>101</v>
      </c>
      <c r="D53" s="80"/>
      <c r="E53" s="82" t="s">
        <v>102</v>
      </c>
      <c r="F53" s="77"/>
      <c r="G53" s="77"/>
      <c r="H53" s="77"/>
      <c r="I53" s="77" t="s">
        <v>27</v>
      </c>
      <c r="J53" s="78">
        <v>1255.5899999999999</v>
      </c>
      <c r="K53" s="78">
        <v>1059.74</v>
      </c>
      <c r="L53" s="92">
        <v>1689.9</v>
      </c>
      <c r="M53" s="78">
        <v>1997.2</v>
      </c>
      <c r="N53" s="78">
        <v>2019.6</v>
      </c>
      <c r="O53" s="78">
        <v>2019.6</v>
      </c>
      <c r="P53" s="58"/>
      <c r="Q53" s="58"/>
      <c r="R53" s="58"/>
      <c r="S53" s="58"/>
      <c r="T53" s="58"/>
      <c r="U53" s="58"/>
      <c r="V53" s="58"/>
      <c r="W53" s="58"/>
    </row>
    <row r="54" spans="1:23" s="79" customFormat="1" ht="108" customHeight="1" x14ac:dyDescent="0.3">
      <c r="A54" s="444"/>
      <c r="B54" s="246"/>
      <c r="C54" s="82" t="s">
        <v>80</v>
      </c>
      <c r="D54" s="80" t="s">
        <v>108</v>
      </c>
      <c r="E54" s="82" t="s">
        <v>104</v>
      </c>
      <c r="F54" s="77"/>
      <c r="G54" s="77"/>
      <c r="H54" s="77"/>
      <c r="I54" s="77" t="s">
        <v>31</v>
      </c>
      <c r="J54" s="92">
        <v>38.369999999999997</v>
      </c>
      <c r="K54" s="92">
        <v>38.369999999999997</v>
      </c>
      <c r="L54" s="92">
        <v>81.7</v>
      </c>
      <c r="M54" s="78">
        <v>155.69999999999999</v>
      </c>
      <c r="N54" s="78">
        <v>162.30000000000001</v>
      </c>
      <c r="O54" s="78">
        <v>168.9</v>
      </c>
      <c r="P54" s="58"/>
      <c r="Q54" s="58"/>
      <c r="R54" s="58"/>
      <c r="S54" s="58"/>
      <c r="T54" s="58"/>
      <c r="U54" s="58"/>
      <c r="V54" s="58"/>
      <c r="W54" s="58"/>
    </row>
    <row r="55" spans="1:23" s="79" customFormat="1" ht="96" customHeight="1" x14ac:dyDescent="0.3">
      <c r="A55" s="444"/>
      <c r="B55" s="417" t="s">
        <v>57</v>
      </c>
      <c r="C55" s="80" t="s">
        <v>69</v>
      </c>
      <c r="D55" s="93"/>
      <c r="E55" s="82" t="s">
        <v>71</v>
      </c>
      <c r="F55" s="69" t="s">
        <v>109</v>
      </c>
      <c r="G55" s="69" t="s">
        <v>110</v>
      </c>
      <c r="H55" s="69" t="s">
        <v>73</v>
      </c>
      <c r="I55" s="69"/>
      <c r="J55" s="71">
        <f>J56+J57+J58+J59</f>
        <v>2387.8999999999996</v>
      </c>
      <c r="K55" s="71">
        <f t="shared" ref="K55:O55" si="12">K56+K57+K58+K59</f>
        <v>2296.0099999999998</v>
      </c>
      <c r="L55" s="71">
        <f t="shared" si="12"/>
        <v>2335.5699999999997</v>
      </c>
      <c r="M55" s="71">
        <f t="shared" si="12"/>
        <v>2841.6</v>
      </c>
      <c r="N55" s="71">
        <f t="shared" si="12"/>
        <v>3073</v>
      </c>
      <c r="O55" s="71">
        <f t="shared" si="12"/>
        <v>3073</v>
      </c>
      <c r="P55" s="58"/>
      <c r="Q55" s="57"/>
      <c r="R55" s="57"/>
      <c r="S55" s="57"/>
      <c r="T55" s="57"/>
      <c r="U55" s="57"/>
      <c r="V55" s="58"/>
      <c r="W55" s="58"/>
    </row>
    <row r="56" spans="1:23" s="79" customFormat="1" ht="121.5" customHeight="1" x14ac:dyDescent="0.3">
      <c r="A56" s="444"/>
      <c r="B56" s="417"/>
      <c r="C56" s="80" t="s">
        <v>111</v>
      </c>
      <c r="D56" s="94" t="s">
        <v>99</v>
      </c>
      <c r="E56" s="82" t="s">
        <v>112</v>
      </c>
      <c r="F56" s="77"/>
      <c r="G56" s="77"/>
      <c r="H56" s="77"/>
      <c r="I56" s="77" t="s">
        <v>26</v>
      </c>
      <c r="J56" s="78">
        <f>1531.6+9.6</f>
        <v>1541.1999999999998</v>
      </c>
      <c r="K56" s="78">
        <f>1509.99+9.61</f>
        <v>1519.6</v>
      </c>
      <c r="L56" s="78">
        <f>1698.74+2.73</f>
        <v>1701.47</v>
      </c>
      <c r="M56" s="78">
        <f>2124.1+5</f>
        <v>2129.1</v>
      </c>
      <c r="N56" s="78">
        <f>2306+5</f>
        <v>2311</v>
      </c>
      <c r="O56" s="78">
        <f>2306+5</f>
        <v>2311</v>
      </c>
      <c r="P56" s="95"/>
      <c r="Q56" s="58"/>
      <c r="R56" s="58"/>
      <c r="S56" s="58"/>
      <c r="T56" s="58"/>
      <c r="U56" s="58"/>
      <c r="V56" s="96"/>
      <c r="W56" s="96"/>
    </row>
    <row r="57" spans="1:23" s="79" customFormat="1" ht="135.75" customHeight="1" x14ac:dyDescent="0.3">
      <c r="A57" s="444"/>
      <c r="B57" s="417"/>
      <c r="C57" s="82" t="s">
        <v>113</v>
      </c>
      <c r="D57" s="82"/>
      <c r="E57" s="82" t="s">
        <v>114</v>
      </c>
      <c r="F57" s="77"/>
      <c r="G57" s="77"/>
      <c r="H57" s="77"/>
      <c r="I57" s="77" t="s">
        <v>27</v>
      </c>
      <c r="J57" s="92">
        <v>509.5</v>
      </c>
      <c r="K57" s="92">
        <v>439.19</v>
      </c>
      <c r="L57" s="78">
        <v>574.4</v>
      </c>
      <c r="M57" s="78">
        <v>641.5</v>
      </c>
      <c r="N57" s="78">
        <v>691</v>
      </c>
      <c r="O57" s="78">
        <v>691</v>
      </c>
      <c r="P57" s="97"/>
      <c r="Q57" s="58"/>
      <c r="R57" s="58"/>
      <c r="S57" s="58"/>
      <c r="T57" s="58"/>
      <c r="U57" s="58"/>
      <c r="V57" s="58"/>
      <c r="W57" s="58"/>
    </row>
    <row r="58" spans="1:23" s="79" customFormat="1" ht="129" customHeight="1" x14ac:dyDescent="0.3">
      <c r="A58" s="444"/>
      <c r="B58" s="417"/>
      <c r="C58" s="80" t="s">
        <v>115</v>
      </c>
      <c r="D58" s="81" t="s">
        <v>65</v>
      </c>
      <c r="E58" s="82" t="s">
        <v>107</v>
      </c>
      <c r="F58" s="77"/>
      <c r="G58" s="77"/>
      <c r="H58" s="77"/>
      <c r="I58" s="77" t="s">
        <v>28</v>
      </c>
      <c r="J58" s="92">
        <v>0</v>
      </c>
      <c r="K58" s="92">
        <v>0</v>
      </c>
      <c r="L58" s="92">
        <f>19.2+3.3</f>
        <v>22.5</v>
      </c>
      <c r="M58" s="92">
        <f>13</f>
        <v>13</v>
      </c>
      <c r="N58" s="92">
        <v>13</v>
      </c>
      <c r="O58" s="92">
        <v>13</v>
      </c>
      <c r="P58" s="95"/>
      <c r="Q58" s="58"/>
      <c r="R58" s="58"/>
      <c r="S58" s="58"/>
      <c r="T58" s="58"/>
      <c r="U58" s="58"/>
      <c r="V58" s="58"/>
      <c r="W58" s="58"/>
    </row>
    <row r="59" spans="1:23" s="79" customFormat="1" ht="108" customHeight="1" x14ac:dyDescent="0.3">
      <c r="A59" s="444"/>
      <c r="B59" s="417"/>
      <c r="C59" s="82" t="s">
        <v>80</v>
      </c>
      <c r="D59" s="80" t="s">
        <v>116</v>
      </c>
      <c r="E59" s="82" t="s">
        <v>117</v>
      </c>
      <c r="F59" s="77"/>
      <c r="G59" s="77"/>
      <c r="H59" s="77"/>
      <c r="I59" s="77" t="s">
        <v>31</v>
      </c>
      <c r="J59" s="92">
        <f>300+11.7+25.5</f>
        <v>337.2</v>
      </c>
      <c r="K59" s="92">
        <f>300+11.7+25.52</f>
        <v>337.21999999999997</v>
      </c>
      <c r="L59" s="92">
        <f>28+9.2</f>
        <v>37.200000000000003</v>
      </c>
      <c r="M59" s="92">
        <f>3+5+30+20</f>
        <v>58</v>
      </c>
      <c r="N59" s="92">
        <f>3+5+30+20</f>
        <v>58</v>
      </c>
      <c r="O59" s="92">
        <f>3+5+30+20</f>
        <v>58</v>
      </c>
      <c r="P59" s="95"/>
      <c r="Q59" s="58"/>
      <c r="R59" s="58"/>
      <c r="S59" s="58"/>
      <c r="T59" s="58"/>
      <c r="U59" s="58"/>
      <c r="V59" s="58"/>
      <c r="W59" s="58"/>
    </row>
    <row r="60" spans="1:23" s="79" customFormat="1" ht="126" customHeight="1" x14ac:dyDescent="0.3">
      <c r="A60" s="444"/>
      <c r="B60" s="427" t="s">
        <v>57</v>
      </c>
      <c r="C60" s="80" t="s">
        <v>69</v>
      </c>
      <c r="D60" s="93"/>
      <c r="E60" s="82" t="s">
        <v>71</v>
      </c>
      <c r="F60" s="69" t="s">
        <v>109</v>
      </c>
      <c r="G60" s="69" t="s">
        <v>110</v>
      </c>
      <c r="H60" s="69" t="s">
        <v>73</v>
      </c>
      <c r="I60" s="69"/>
      <c r="J60" s="71">
        <f>J61+J62+J63+J64</f>
        <v>9900.619999999999</v>
      </c>
      <c r="K60" s="71">
        <f t="shared" ref="K60:O60" si="13">K61+K62+K63+K64</f>
        <v>9335.0399999999991</v>
      </c>
      <c r="L60" s="71">
        <f t="shared" si="13"/>
        <v>10345.709999999999</v>
      </c>
      <c r="M60" s="71">
        <f t="shared" si="13"/>
        <v>13058.7</v>
      </c>
      <c r="N60" s="71">
        <f t="shared" si="13"/>
        <v>13691.3</v>
      </c>
      <c r="O60" s="71">
        <f t="shared" si="13"/>
        <v>13699.800000000001</v>
      </c>
      <c r="P60" s="58"/>
      <c r="Q60" s="58"/>
      <c r="R60" s="58"/>
      <c r="S60" s="58"/>
      <c r="T60" s="58"/>
      <c r="U60" s="58"/>
      <c r="V60" s="58"/>
      <c r="W60" s="58"/>
    </row>
    <row r="61" spans="1:23" s="79" customFormat="1" ht="114.75" x14ac:dyDescent="0.3">
      <c r="A61" s="444"/>
      <c r="B61" s="427"/>
      <c r="C61" s="98" t="s">
        <v>111</v>
      </c>
      <c r="D61" s="94" t="s">
        <v>99</v>
      </c>
      <c r="E61" s="99" t="s">
        <v>112</v>
      </c>
      <c r="F61" s="77"/>
      <c r="G61" s="77"/>
      <c r="H61" s="77"/>
      <c r="I61" s="77" t="s">
        <v>26</v>
      </c>
      <c r="J61" s="78">
        <f>7339.3+37.8</f>
        <v>7377.1</v>
      </c>
      <c r="K61" s="78">
        <f>7186.93+37.14</f>
        <v>7224.0700000000006</v>
      </c>
      <c r="L61" s="78">
        <f>7553.31+24</f>
        <v>7577.31</v>
      </c>
      <c r="M61" s="78">
        <f>9930+20</f>
        <v>9950</v>
      </c>
      <c r="N61" s="78">
        <f>10674.4+20</f>
        <v>10694.4</v>
      </c>
      <c r="O61" s="78">
        <f>10429+20</f>
        <v>10449</v>
      </c>
      <c r="P61" s="58"/>
      <c r="Q61" s="58"/>
      <c r="R61" s="58"/>
      <c r="S61" s="58"/>
      <c r="T61" s="58"/>
      <c r="U61" s="58"/>
      <c r="V61" s="58"/>
      <c r="W61" s="58"/>
    </row>
    <row r="62" spans="1:23" s="79" customFormat="1" ht="128.25" customHeight="1" x14ac:dyDescent="0.3">
      <c r="A62" s="444"/>
      <c r="B62" s="427"/>
      <c r="C62" s="80" t="s">
        <v>118</v>
      </c>
      <c r="D62" s="81" t="s">
        <v>65</v>
      </c>
      <c r="E62" s="82" t="s">
        <v>107</v>
      </c>
      <c r="F62" s="77"/>
      <c r="G62" s="77"/>
      <c r="H62" s="77"/>
      <c r="I62" s="77" t="s">
        <v>28</v>
      </c>
      <c r="J62" s="92">
        <v>24.4</v>
      </c>
      <c r="K62" s="92">
        <v>24.42</v>
      </c>
      <c r="L62" s="92">
        <f>4.2+74.5</f>
        <v>78.7</v>
      </c>
      <c r="M62" s="92">
        <v>35</v>
      </c>
      <c r="N62" s="92">
        <v>35</v>
      </c>
      <c r="O62" s="92">
        <v>35</v>
      </c>
      <c r="P62" s="96"/>
      <c r="Q62" s="58"/>
      <c r="R62" s="58"/>
      <c r="S62" s="58"/>
      <c r="T62" s="58"/>
      <c r="U62" s="58"/>
      <c r="V62" s="58"/>
      <c r="W62" s="58"/>
    </row>
    <row r="63" spans="1:23" s="79" customFormat="1" ht="145.9" customHeight="1" x14ac:dyDescent="0.3">
      <c r="A63" s="444"/>
      <c r="B63" s="427"/>
      <c r="C63" s="82" t="s">
        <v>119</v>
      </c>
      <c r="D63" s="82"/>
      <c r="E63" s="82" t="s">
        <v>114</v>
      </c>
      <c r="F63" s="77"/>
      <c r="G63" s="77"/>
      <c r="H63" s="77"/>
      <c r="I63" s="77" t="s">
        <v>27</v>
      </c>
      <c r="J63" s="78">
        <v>2399.4</v>
      </c>
      <c r="K63" s="78">
        <v>1986.83</v>
      </c>
      <c r="L63" s="78">
        <v>2637.98</v>
      </c>
      <c r="M63" s="78">
        <v>2972.5</v>
      </c>
      <c r="N63" s="78">
        <v>2854</v>
      </c>
      <c r="O63" s="78">
        <v>3101.2</v>
      </c>
      <c r="P63" s="100"/>
      <c r="Q63" s="58"/>
      <c r="R63" s="101"/>
      <c r="S63" s="58"/>
      <c r="T63" s="58"/>
      <c r="U63" s="58"/>
      <c r="V63" s="58"/>
      <c r="W63" s="58"/>
    </row>
    <row r="64" spans="1:23" s="79" customFormat="1" ht="144.75" customHeight="1" x14ac:dyDescent="0.3">
      <c r="A64" s="444"/>
      <c r="B64" s="427"/>
      <c r="C64" s="82" t="s">
        <v>80</v>
      </c>
      <c r="D64" s="82" t="s">
        <v>120</v>
      </c>
      <c r="E64" s="82" t="s">
        <v>121</v>
      </c>
      <c r="F64" s="77"/>
      <c r="G64" s="77"/>
      <c r="H64" s="77"/>
      <c r="I64" s="77" t="s">
        <v>31</v>
      </c>
      <c r="J64" s="92">
        <f>41.66+58.06</f>
        <v>99.72</v>
      </c>
      <c r="K64" s="92">
        <f>41.66+58.06</f>
        <v>99.72</v>
      </c>
      <c r="L64" s="92">
        <f>3.68+11.3+1.44+35.3</f>
        <v>51.72</v>
      </c>
      <c r="M64" s="92">
        <f>5+20+46.2+30</f>
        <v>101.2</v>
      </c>
      <c r="N64" s="92">
        <f>5+20+46.2+36.7</f>
        <v>107.9</v>
      </c>
      <c r="O64" s="92">
        <f>5+20+46.2+43.4</f>
        <v>114.6</v>
      </c>
      <c r="P64" s="101"/>
      <c r="Q64" s="101"/>
      <c r="R64" s="101"/>
      <c r="S64" s="101"/>
      <c r="T64" s="101"/>
      <c r="U64" s="101"/>
      <c r="V64" s="101"/>
      <c r="W64" s="101"/>
    </row>
    <row r="65" spans="1:23" s="79" customFormat="1" ht="109.5" customHeight="1" x14ac:dyDescent="0.3">
      <c r="A65" s="444"/>
      <c r="B65" s="416" t="s">
        <v>57</v>
      </c>
      <c r="C65" s="80" t="s">
        <v>69</v>
      </c>
      <c r="D65" s="93"/>
      <c r="E65" s="82" t="s">
        <v>71</v>
      </c>
      <c r="F65" s="69" t="s">
        <v>122</v>
      </c>
      <c r="G65" s="69" t="s">
        <v>72</v>
      </c>
      <c r="H65" s="69" t="s">
        <v>73</v>
      </c>
      <c r="I65" s="69"/>
      <c r="J65" s="71">
        <f>J66+J67+J68+J69</f>
        <v>3198.0880000000002</v>
      </c>
      <c r="K65" s="71">
        <f t="shared" ref="K65:O65" si="14">K66+K67+K68+K69</f>
        <v>2980.8780000000002</v>
      </c>
      <c r="L65" s="71">
        <f t="shared" si="14"/>
        <v>4312.3500000000004</v>
      </c>
      <c r="M65" s="71">
        <f t="shared" si="14"/>
        <v>5123.4000000000005</v>
      </c>
      <c r="N65" s="71">
        <f t="shared" si="14"/>
        <v>5401.1</v>
      </c>
      <c r="O65" s="71">
        <f t="shared" si="14"/>
        <v>5405.4999999999991</v>
      </c>
      <c r="P65" s="101"/>
      <c r="Q65" s="58"/>
      <c r="R65" s="58"/>
      <c r="S65" s="58"/>
      <c r="T65" s="58"/>
      <c r="U65" s="58"/>
      <c r="V65" s="58"/>
      <c r="W65" s="58"/>
    </row>
    <row r="66" spans="1:23" s="79" customFormat="1" ht="129" customHeight="1" x14ac:dyDescent="0.3">
      <c r="A66" s="444"/>
      <c r="B66" s="417"/>
      <c r="C66" s="98" t="s">
        <v>111</v>
      </c>
      <c r="D66" s="81" t="s">
        <v>99</v>
      </c>
      <c r="E66" s="99" t="s">
        <v>112</v>
      </c>
      <c r="F66" s="77"/>
      <c r="G66" s="77"/>
      <c r="H66" s="77"/>
      <c r="I66" s="77" t="s">
        <v>26</v>
      </c>
      <c r="J66" s="102">
        <v>2375.9</v>
      </c>
      <c r="K66" s="102">
        <v>2315.96</v>
      </c>
      <c r="L66" s="102">
        <v>3139.78</v>
      </c>
      <c r="M66" s="102">
        <v>3862.6</v>
      </c>
      <c r="N66" s="102">
        <v>4074.2</v>
      </c>
      <c r="O66" s="102">
        <v>4075.9</v>
      </c>
      <c r="P66" s="58"/>
      <c r="Q66" s="58"/>
      <c r="R66" s="58"/>
      <c r="S66" s="58"/>
      <c r="T66" s="58"/>
      <c r="U66" s="58"/>
      <c r="V66" s="58"/>
      <c r="W66" s="58"/>
    </row>
    <row r="67" spans="1:23" s="79" customFormat="1" ht="113.25" customHeight="1" x14ac:dyDescent="0.3">
      <c r="A67" s="444"/>
      <c r="B67" s="417"/>
      <c r="C67" s="80" t="s">
        <v>118</v>
      </c>
      <c r="D67" s="81" t="s">
        <v>65</v>
      </c>
      <c r="E67" s="82" t="s">
        <v>107</v>
      </c>
      <c r="F67" s="77"/>
      <c r="G67" s="77"/>
      <c r="H67" s="77"/>
      <c r="I67" s="77" t="s">
        <v>28</v>
      </c>
      <c r="J67" s="103">
        <v>0</v>
      </c>
      <c r="K67" s="103">
        <v>0</v>
      </c>
      <c r="L67" s="103">
        <v>36.26</v>
      </c>
      <c r="M67" s="103">
        <v>35</v>
      </c>
      <c r="N67" s="103">
        <v>35</v>
      </c>
      <c r="O67" s="103">
        <v>35</v>
      </c>
      <c r="P67" s="58"/>
      <c r="Q67" s="58"/>
      <c r="R67" s="58"/>
      <c r="S67" s="58"/>
      <c r="T67" s="58"/>
      <c r="U67" s="58"/>
      <c r="V67" s="58"/>
      <c r="W67" s="58"/>
    </row>
    <row r="68" spans="1:23" s="79" customFormat="1" ht="148.9" customHeight="1" x14ac:dyDescent="0.3">
      <c r="A68" s="444"/>
      <c r="B68" s="417"/>
      <c r="C68" s="82" t="s">
        <v>119</v>
      </c>
      <c r="D68" s="82"/>
      <c r="E68" s="82" t="s">
        <v>114</v>
      </c>
      <c r="F68" s="77"/>
      <c r="G68" s="77"/>
      <c r="H68" s="77"/>
      <c r="I68" s="77" t="s">
        <v>27</v>
      </c>
      <c r="J68" s="103">
        <v>787.09</v>
      </c>
      <c r="K68" s="103">
        <v>629.82000000000005</v>
      </c>
      <c r="L68" s="102">
        <v>1080.01</v>
      </c>
      <c r="M68" s="102">
        <v>1162.5</v>
      </c>
      <c r="N68" s="102">
        <v>1225.9000000000001</v>
      </c>
      <c r="O68" s="102">
        <v>1225.9000000000001</v>
      </c>
      <c r="P68" s="58"/>
      <c r="Q68" s="58"/>
      <c r="R68" s="58"/>
      <c r="S68" s="58"/>
      <c r="T68" s="58"/>
      <c r="U68" s="58"/>
      <c r="V68" s="58"/>
      <c r="W68" s="58"/>
    </row>
    <row r="69" spans="1:23" s="79" customFormat="1" ht="153.75" customHeight="1" x14ac:dyDescent="0.3">
      <c r="A69" s="444"/>
      <c r="B69" s="417"/>
      <c r="C69" s="82" t="s">
        <v>80</v>
      </c>
      <c r="D69" s="80" t="s">
        <v>123</v>
      </c>
      <c r="E69" s="82" t="s">
        <v>86</v>
      </c>
      <c r="F69" s="77"/>
      <c r="G69" s="77"/>
      <c r="H69" s="77"/>
      <c r="I69" s="77" t="s">
        <v>31</v>
      </c>
      <c r="J69" s="103">
        <v>35.097999999999999</v>
      </c>
      <c r="K69" s="103">
        <v>35.097999999999999</v>
      </c>
      <c r="L69" s="103">
        <v>56.3</v>
      </c>
      <c r="M69" s="103">
        <v>63.3</v>
      </c>
      <c r="N69" s="103">
        <v>66</v>
      </c>
      <c r="O69" s="103">
        <v>68.7</v>
      </c>
      <c r="P69" s="58"/>
      <c r="Q69" s="58"/>
      <c r="R69" s="58"/>
      <c r="S69" s="58"/>
      <c r="T69" s="58"/>
      <c r="U69" s="58"/>
      <c r="V69" s="58"/>
      <c r="W69" s="58"/>
    </row>
    <row r="70" spans="1:23" s="79" customFormat="1" ht="126.75" customHeight="1" x14ac:dyDescent="0.3">
      <c r="A70" s="444"/>
      <c r="B70" s="417" t="s">
        <v>57</v>
      </c>
      <c r="C70" s="80" t="s">
        <v>69</v>
      </c>
      <c r="D70" s="93"/>
      <c r="E70" s="82" t="s">
        <v>71</v>
      </c>
      <c r="F70" s="69" t="s">
        <v>124</v>
      </c>
      <c r="G70" s="69" t="s">
        <v>125</v>
      </c>
      <c r="H70" s="69" t="s">
        <v>73</v>
      </c>
      <c r="I70" s="69"/>
      <c r="J70" s="71">
        <f>J71+J72+J73+J74</f>
        <v>5322.5599999999995</v>
      </c>
      <c r="K70" s="71">
        <f t="shared" ref="K70:O70" si="15">K71+K72+K73+K74</f>
        <v>5021.07</v>
      </c>
      <c r="L70" s="71">
        <f t="shared" si="15"/>
        <v>6002.7499999999991</v>
      </c>
      <c r="M70" s="71">
        <f t="shared" si="15"/>
        <v>6368.2999999999993</v>
      </c>
      <c r="N70" s="71">
        <f t="shared" si="15"/>
        <v>6714.2</v>
      </c>
      <c r="O70" s="71">
        <f t="shared" si="15"/>
        <v>6718.3</v>
      </c>
      <c r="P70" s="58"/>
      <c r="Q70" s="58"/>
      <c r="R70" s="58"/>
      <c r="S70" s="58"/>
      <c r="T70" s="58"/>
      <c r="U70" s="58"/>
      <c r="V70" s="58"/>
      <c r="W70" s="58"/>
    </row>
    <row r="71" spans="1:23" s="79" customFormat="1" ht="130.5" customHeight="1" x14ac:dyDescent="0.3">
      <c r="A71" s="444"/>
      <c r="B71" s="417"/>
      <c r="C71" s="82" t="s">
        <v>111</v>
      </c>
      <c r="D71" s="81" t="s">
        <v>99</v>
      </c>
      <c r="E71" s="99" t="s">
        <v>112</v>
      </c>
      <c r="F71" s="69"/>
      <c r="G71" s="69"/>
      <c r="H71" s="77"/>
      <c r="I71" s="77" t="s">
        <v>26</v>
      </c>
      <c r="J71" s="78">
        <v>3915.36</v>
      </c>
      <c r="K71" s="78">
        <v>3830.86</v>
      </c>
      <c r="L71" s="78">
        <v>4437.03</v>
      </c>
      <c r="M71" s="78">
        <v>4815.8999999999996</v>
      </c>
      <c r="N71" s="78">
        <v>5078.8999999999996</v>
      </c>
      <c r="O71" s="78">
        <v>5079.3</v>
      </c>
      <c r="P71" s="58"/>
      <c r="Q71" s="58"/>
      <c r="R71" s="58"/>
      <c r="S71" s="58"/>
      <c r="T71" s="58"/>
      <c r="U71" s="58"/>
      <c r="V71" s="58"/>
      <c r="W71" s="58"/>
    </row>
    <row r="72" spans="1:23" s="79" customFormat="1" ht="142.5" customHeight="1" x14ac:dyDescent="0.3">
      <c r="A72" s="444"/>
      <c r="B72" s="417"/>
      <c r="C72" s="80" t="s">
        <v>115</v>
      </c>
      <c r="D72" s="81" t="s">
        <v>65</v>
      </c>
      <c r="E72" s="82" t="s">
        <v>107</v>
      </c>
      <c r="F72" s="69"/>
      <c r="G72" s="69"/>
      <c r="H72" s="77"/>
      <c r="I72" s="77" t="s">
        <v>28</v>
      </c>
      <c r="J72" s="92">
        <v>26.22</v>
      </c>
      <c r="K72" s="92">
        <v>24.82</v>
      </c>
      <c r="L72" s="92">
        <v>12</v>
      </c>
      <c r="M72" s="92">
        <v>13</v>
      </c>
      <c r="N72" s="92">
        <v>13</v>
      </c>
      <c r="O72" s="92">
        <v>13</v>
      </c>
      <c r="P72" s="58"/>
      <c r="Q72" s="58"/>
      <c r="R72" s="58"/>
      <c r="S72" s="58"/>
      <c r="T72" s="58"/>
      <c r="U72" s="58"/>
      <c r="V72" s="58"/>
      <c r="W72" s="58"/>
    </row>
    <row r="73" spans="1:23" s="79" customFormat="1" ht="156" customHeight="1" x14ac:dyDescent="0.3">
      <c r="A73" s="444"/>
      <c r="B73" s="417"/>
      <c r="C73" s="80" t="s">
        <v>119</v>
      </c>
      <c r="D73" s="86"/>
      <c r="E73" s="82" t="s">
        <v>114</v>
      </c>
      <c r="F73" s="69"/>
      <c r="G73" s="69"/>
      <c r="H73" s="77"/>
      <c r="I73" s="77" t="s">
        <v>27</v>
      </c>
      <c r="J73" s="78">
        <v>1291.29</v>
      </c>
      <c r="K73" s="78">
        <v>1075.7</v>
      </c>
      <c r="L73" s="92">
        <v>1523.1</v>
      </c>
      <c r="M73" s="92">
        <v>1453.9</v>
      </c>
      <c r="N73" s="78">
        <v>1533.2</v>
      </c>
      <c r="O73" s="78">
        <v>1533.2</v>
      </c>
      <c r="P73" s="58"/>
      <c r="Q73" s="58"/>
      <c r="R73" s="58"/>
      <c r="S73" s="58"/>
      <c r="T73" s="58"/>
      <c r="U73" s="58"/>
      <c r="V73" s="58"/>
      <c r="W73" s="58"/>
    </row>
    <row r="74" spans="1:23" s="79" customFormat="1" ht="150" customHeight="1" x14ac:dyDescent="0.3">
      <c r="A74" s="444"/>
      <c r="B74" s="418"/>
      <c r="C74" s="82" t="s">
        <v>80</v>
      </c>
      <c r="D74" s="80" t="s">
        <v>126</v>
      </c>
      <c r="E74" s="82" t="s">
        <v>121</v>
      </c>
      <c r="F74" s="69"/>
      <c r="G74" s="69"/>
      <c r="H74" s="77"/>
      <c r="I74" s="77" t="s">
        <v>31</v>
      </c>
      <c r="J74" s="78">
        <v>89.69</v>
      </c>
      <c r="K74" s="78">
        <v>89.69</v>
      </c>
      <c r="L74" s="92">
        <v>30.62</v>
      </c>
      <c r="M74" s="92">
        <v>85.5</v>
      </c>
      <c r="N74" s="92">
        <v>89.1</v>
      </c>
      <c r="O74" s="92">
        <v>92.8</v>
      </c>
      <c r="P74" s="96"/>
      <c r="Q74" s="96"/>
      <c r="R74" s="58"/>
      <c r="S74" s="58"/>
      <c r="T74" s="58"/>
      <c r="U74" s="58"/>
      <c r="V74" s="58"/>
      <c r="W74" s="58"/>
    </row>
    <row r="75" spans="1:23" s="106" customFormat="1" ht="39" customHeight="1" x14ac:dyDescent="0.3">
      <c r="A75" s="419">
        <v>902</v>
      </c>
      <c r="B75" s="379" t="s">
        <v>127</v>
      </c>
      <c r="C75" s="115" t="s">
        <v>128</v>
      </c>
      <c r="D75" s="142" t="s">
        <v>129</v>
      </c>
      <c r="E75" s="115" t="s">
        <v>130</v>
      </c>
      <c r="F75" s="109"/>
      <c r="G75" s="109"/>
      <c r="H75" s="109"/>
      <c r="I75" s="109"/>
      <c r="J75" s="71">
        <f t="shared" ref="J75:K75" si="16">J76+J79+J86+J87+J88+J92+J94+J96+J97+J98</f>
        <v>11889.18</v>
      </c>
      <c r="K75" s="71">
        <f t="shared" si="16"/>
        <v>11819.810000000001</v>
      </c>
      <c r="L75" s="71">
        <f>L76+L79+L86+L87+L88+L92+L94+L96+L97+L98</f>
        <v>34293.652999999998</v>
      </c>
      <c r="M75" s="71">
        <f>M76+M79+M86+M87+M88+M92+M94+M96+M97+M98+M84+M100+M99</f>
        <v>50584.1</v>
      </c>
      <c r="N75" s="71">
        <f t="shared" ref="N75:O75" si="17">N76+N79+N86+N87+N88+N92+N94+N96+N97+N98+N84+N100+N99</f>
        <v>56206.799999999996</v>
      </c>
      <c r="O75" s="71">
        <f t="shared" si="17"/>
        <v>50056.899999999994</v>
      </c>
      <c r="P75" s="104"/>
      <c r="Q75" s="104"/>
      <c r="R75" s="104"/>
      <c r="S75" s="104"/>
      <c r="T75" s="104"/>
      <c r="U75" s="104"/>
      <c r="V75" s="105"/>
      <c r="W75" s="105"/>
    </row>
    <row r="76" spans="1:23" s="74" customFormat="1" ht="38.25" x14ac:dyDescent="0.3">
      <c r="A76" s="420"/>
      <c r="B76" s="372"/>
      <c r="C76" s="107" t="s">
        <v>131</v>
      </c>
      <c r="D76" s="107" t="s">
        <v>132</v>
      </c>
      <c r="E76" s="107" t="s">
        <v>133</v>
      </c>
      <c r="F76" s="108" t="s">
        <v>19</v>
      </c>
      <c r="G76" s="108" t="s">
        <v>134</v>
      </c>
      <c r="H76" s="108" t="s">
        <v>135</v>
      </c>
      <c r="I76" s="108"/>
      <c r="J76" s="121">
        <f>J77+J78</f>
        <v>1500.13</v>
      </c>
      <c r="K76" s="121">
        <f t="shared" ref="K76:O76" si="18">K77+K78</f>
        <v>1500.13</v>
      </c>
      <c r="L76" s="121">
        <f t="shared" si="18"/>
        <v>1115.04</v>
      </c>
      <c r="M76" s="121">
        <f t="shared" si="18"/>
        <v>1251.5999999999999</v>
      </c>
      <c r="N76" s="121">
        <f t="shared" si="18"/>
        <v>1304.2</v>
      </c>
      <c r="O76" s="121">
        <f t="shared" si="18"/>
        <v>1357.6</v>
      </c>
      <c r="P76" s="73"/>
      <c r="Q76" s="73"/>
      <c r="R76" s="73"/>
      <c r="S76" s="72"/>
      <c r="T76" s="72"/>
      <c r="U76" s="72"/>
      <c r="V76" s="73"/>
      <c r="W76" s="73"/>
    </row>
    <row r="77" spans="1:23" s="112" customFormat="1" ht="110.25" customHeight="1" x14ac:dyDescent="0.3">
      <c r="A77" s="420"/>
      <c r="B77" s="372"/>
      <c r="C77" s="82" t="s">
        <v>80</v>
      </c>
      <c r="D77" s="80" t="s">
        <v>136</v>
      </c>
      <c r="E77" s="80" t="s">
        <v>121</v>
      </c>
      <c r="F77" s="109"/>
      <c r="G77" s="109"/>
      <c r="H77" s="109"/>
      <c r="I77" s="109" t="s">
        <v>31</v>
      </c>
      <c r="J77" s="78">
        <v>1434.5</v>
      </c>
      <c r="K77" s="78">
        <v>1434.5</v>
      </c>
      <c r="L77" s="78">
        <v>1115.04</v>
      </c>
      <c r="M77" s="78">
        <v>1251.5999999999999</v>
      </c>
      <c r="N77" s="78">
        <v>1304.2</v>
      </c>
      <c r="O77" s="78">
        <v>1357.6</v>
      </c>
      <c r="P77" s="110"/>
      <c r="Q77" s="111"/>
      <c r="R77" s="111"/>
      <c r="S77" s="111"/>
      <c r="T77" s="111"/>
      <c r="U77" s="111"/>
      <c r="V77" s="111"/>
      <c r="W77" s="111"/>
    </row>
    <row r="78" spans="1:23" s="112" customFormat="1" ht="39" customHeight="1" x14ac:dyDescent="0.3">
      <c r="A78" s="420"/>
      <c r="B78" s="372"/>
      <c r="C78" s="113" t="s">
        <v>137</v>
      </c>
      <c r="D78" s="114" t="s">
        <v>138</v>
      </c>
      <c r="E78" s="82" t="s">
        <v>89</v>
      </c>
      <c r="F78" s="109"/>
      <c r="G78" s="109"/>
      <c r="H78" s="109"/>
      <c r="I78" s="109" t="s">
        <v>90</v>
      </c>
      <c r="J78" s="92">
        <v>65.63</v>
      </c>
      <c r="K78" s="92">
        <v>65.63</v>
      </c>
      <c r="L78" s="92">
        <v>0</v>
      </c>
      <c r="M78" s="92">
        <v>0</v>
      </c>
      <c r="N78" s="92">
        <v>0</v>
      </c>
      <c r="O78" s="92">
        <v>0</v>
      </c>
      <c r="P78" s="111"/>
      <c r="Q78" s="111"/>
      <c r="R78" s="111"/>
      <c r="S78" s="111"/>
      <c r="T78" s="111"/>
      <c r="U78" s="111"/>
      <c r="V78" s="111"/>
      <c r="W78" s="111"/>
    </row>
    <row r="79" spans="1:23" s="112" customFormat="1" ht="41.1" customHeight="1" x14ac:dyDescent="0.3">
      <c r="A79" s="420"/>
      <c r="B79" s="372"/>
      <c r="C79" s="115" t="s">
        <v>131</v>
      </c>
      <c r="D79" s="107" t="s">
        <v>132</v>
      </c>
      <c r="E79" s="107" t="s">
        <v>133</v>
      </c>
      <c r="F79" s="108" t="s">
        <v>19</v>
      </c>
      <c r="G79" s="108" t="s">
        <v>134</v>
      </c>
      <c r="H79" s="108" t="s">
        <v>139</v>
      </c>
      <c r="I79" s="108"/>
      <c r="J79" s="116">
        <f t="shared" ref="J79:K79" si="19">J80+J81+J82</f>
        <v>1055.9299999999998</v>
      </c>
      <c r="K79" s="116">
        <f t="shared" si="19"/>
        <v>1054.05</v>
      </c>
      <c r="L79" s="116">
        <f>SUM(L80:L83)</f>
        <v>4646.9430000000002</v>
      </c>
      <c r="M79" s="116">
        <f t="shared" ref="M79:N79" si="20">SUM(M80:M83)</f>
        <v>2109.4</v>
      </c>
      <c r="N79" s="116">
        <f t="shared" si="20"/>
        <v>2224.1</v>
      </c>
      <c r="O79" s="116">
        <f>SUM(O80:O83)</f>
        <v>2344.4</v>
      </c>
      <c r="P79" s="111"/>
      <c r="Q79" s="111"/>
      <c r="R79" s="111"/>
      <c r="S79" s="111"/>
      <c r="T79" s="111"/>
      <c r="U79" s="111"/>
      <c r="V79" s="111"/>
      <c r="W79" s="111"/>
    </row>
    <row r="80" spans="1:23" s="112" customFormat="1" ht="24" customHeight="1" x14ac:dyDescent="0.3">
      <c r="A80" s="420"/>
      <c r="B80" s="372"/>
      <c r="C80" s="98"/>
      <c r="D80" s="107"/>
      <c r="E80" s="80"/>
      <c r="F80" s="108"/>
      <c r="G80" s="108"/>
      <c r="H80" s="108"/>
      <c r="I80" s="109" t="s">
        <v>41</v>
      </c>
      <c r="J80" s="78">
        <v>0</v>
      </c>
      <c r="K80" s="78">
        <v>0</v>
      </c>
      <c r="L80" s="78">
        <v>0</v>
      </c>
      <c r="M80" s="78">
        <v>0</v>
      </c>
      <c r="N80" s="78">
        <v>0</v>
      </c>
      <c r="O80" s="78">
        <v>0</v>
      </c>
      <c r="P80" s="111"/>
      <c r="Q80" s="111"/>
      <c r="R80" s="111"/>
      <c r="S80" s="111"/>
      <c r="T80" s="111"/>
      <c r="U80" s="111"/>
      <c r="V80" s="111"/>
      <c r="W80" s="111"/>
    </row>
    <row r="81" spans="1:23" s="112" customFormat="1" ht="105.75" customHeight="1" x14ac:dyDescent="0.3">
      <c r="A81" s="420"/>
      <c r="B81" s="372"/>
      <c r="C81" s="82" t="s">
        <v>80</v>
      </c>
      <c r="D81" s="80" t="s">
        <v>140</v>
      </c>
      <c r="E81" s="80" t="s">
        <v>121</v>
      </c>
      <c r="F81" s="109"/>
      <c r="G81" s="109"/>
      <c r="H81" s="109"/>
      <c r="I81" s="109" t="s">
        <v>31</v>
      </c>
      <c r="J81" s="92">
        <v>694.81</v>
      </c>
      <c r="K81" s="92">
        <v>692.96</v>
      </c>
      <c r="L81" s="92">
        <v>4413.41</v>
      </c>
      <c r="M81" s="92">
        <v>1525</v>
      </c>
      <c r="N81" s="92">
        <f>5+1500+20</f>
        <v>1525</v>
      </c>
      <c r="O81" s="92">
        <f>5+1500+20</f>
        <v>1525</v>
      </c>
      <c r="P81" s="111"/>
      <c r="Q81" s="111"/>
      <c r="R81" s="111"/>
      <c r="S81" s="111"/>
      <c r="T81" s="111"/>
      <c r="U81" s="111"/>
      <c r="V81" s="111"/>
      <c r="W81" s="111"/>
    </row>
    <row r="82" spans="1:23" s="112" customFormat="1" ht="84.75" customHeight="1" x14ac:dyDescent="0.3">
      <c r="A82" s="420"/>
      <c r="B82" s="372"/>
      <c r="C82" s="80" t="s">
        <v>84</v>
      </c>
      <c r="D82" s="249" t="s">
        <v>141</v>
      </c>
      <c r="E82" s="80" t="s">
        <v>121</v>
      </c>
      <c r="F82" s="109"/>
      <c r="G82" s="109"/>
      <c r="H82" s="109"/>
      <c r="I82" s="109" t="s">
        <v>87</v>
      </c>
      <c r="J82" s="92">
        <v>361.12</v>
      </c>
      <c r="K82" s="92">
        <v>361.09</v>
      </c>
      <c r="L82" s="92">
        <v>233.5</v>
      </c>
      <c r="M82" s="92">
        <v>584.4</v>
      </c>
      <c r="N82" s="92">
        <v>699.1</v>
      </c>
      <c r="O82" s="92">
        <v>819.4</v>
      </c>
      <c r="P82" s="111"/>
      <c r="Q82" s="111"/>
      <c r="R82" s="111"/>
      <c r="S82" s="111"/>
      <c r="T82" s="111"/>
      <c r="U82" s="111"/>
      <c r="V82" s="111"/>
      <c r="W82" s="111"/>
    </row>
    <row r="83" spans="1:23" s="112" customFormat="1" ht="39" customHeight="1" x14ac:dyDescent="0.3">
      <c r="A83" s="420"/>
      <c r="B83" s="372"/>
      <c r="C83" s="82" t="s">
        <v>142</v>
      </c>
      <c r="D83" s="117"/>
      <c r="E83" s="80"/>
      <c r="F83" s="109"/>
      <c r="G83" s="109"/>
      <c r="H83" s="109"/>
      <c r="I83" s="109" t="s">
        <v>39</v>
      </c>
      <c r="J83" s="92">
        <v>0.01</v>
      </c>
      <c r="K83" s="92">
        <v>0.01</v>
      </c>
      <c r="L83" s="92">
        <v>3.3000000000000002E-2</v>
      </c>
      <c r="M83" s="92">
        <v>0</v>
      </c>
      <c r="N83" s="92">
        <v>0</v>
      </c>
      <c r="O83" s="92">
        <v>0</v>
      </c>
      <c r="P83" s="111"/>
      <c r="Q83" s="111"/>
      <c r="R83" s="111"/>
      <c r="S83" s="111"/>
      <c r="T83" s="111"/>
      <c r="U83" s="111"/>
      <c r="V83" s="111"/>
      <c r="W83" s="111"/>
    </row>
    <row r="84" spans="1:23" s="118" customFormat="1" ht="93.75" customHeight="1" x14ac:dyDescent="0.3">
      <c r="A84" s="420"/>
      <c r="B84" s="372"/>
      <c r="C84" s="28" t="s">
        <v>143</v>
      </c>
      <c r="D84" s="28" t="s">
        <v>144</v>
      </c>
      <c r="E84" s="28" t="s">
        <v>145</v>
      </c>
      <c r="F84" s="70" t="s">
        <v>19</v>
      </c>
      <c r="G84" s="70" t="s">
        <v>134</v>
      </c>
      <c r="H84" s="70" t="s">
        <v>146</v>
      </c>
      <c r="I84" s="70"/>
      <c r="J84" s="128">
        <f>J85</f>
        <v>0</v>
      </c>
      <c r="K84" s="128">
        <f t="shared" ref="K84:O84" si="21">K85</f>
        <v>0</v>
      </c>
      <c r="L84" s="128">
        <f t="shared" si="21"/>
        <v>0</v>
      </c>
      <c r="M84" s="71">
        <f t="shared" si="21"/>
        <v>8500</v>
      </c>
      <c r="N84" s="71">
        <f t="shared" si="21"/>
        <v>0</v>
      </c>
      <c r="O84" s="71">
        <f t="shared" si="21"/>
        <v>0</v>
      </c>
    </row>
    <row r="85" spans="1:23" s="112" customFormat="1" ht="53.25" customHeight="1" x14ac:dyDescent="0.3">
      <c r="A85" s="420"/>
      <c r="B85" s="372"/>
      <c r="C85" s="82" t="s">
        <v>147</v>
      </c>
      <c r="D85" s="80" t="s">
        <v>148</v>
      </c>
      <c r="E85" s="80" t="s">
        <v>121</v>
      </c>
      <c r="F85" s="109"/>
      <c r="G85" s="109"/>
      <c r="H85" s="109"/>
      <c r="I85" s="109" t="s">
        <v>149</v>
      </c>
      <c r="J85" s="92">
        <v>0</v>
      </c>
      <c r="K85" s="92">
        <v>0</v>
      </c>
      <c r="L85" s="92">
        <v>0</v>
      </c>
      <c r="M85" s="78">
        <v>8500</v>
      </c>
      <c r="N85" s="78">
        <v>0</v>
      </c>
      <c r="O85" s="78">
        <v>0</v>
      </c>
      <c r="P85" s="111"/>
      <c r="Q85" s="111"/>
      <c r="R85" s="111"/>
      <c r="S85" s="111"/>
      <c r="T85" s="111"/>
      <c r="U85" s="111"/>
      <c r="V85" s="111"/>
      <c r="W85" s="111"/>
    </row>
    <row r="86" spans="1:23" s="112" customFormat="1" ht="81.75" customHeight="1" x14ac:dyDescent="0.3">
      <c r="A86" s="420"/>
      <c r="B86" s="372"/>
      <c r="C86" s="82" t="s">
        <v>80</v>
      </c>
      <c r="D86" s="80" t="s">
        <v>150</v>
      </c>
      <c r="E86" s="80" t="s">
        <v>151</v>
      </c>
      <c r="F86" s="108" t="s">
        <v>19</v>
      </c>
      <c r="G86" s="108" t="s">
        <v>134</v>
      </c>
      <c r="H86" s="108" t="s">
        <v>152</v>
      </c>
      <c r="I86" s="108" t="s">
        <v>31</v>
      </c>
      <c r="J86" s="116">
        <v>1246.92</v>
      </c>
      <c r="K86" s="116">
        <v>1243.33</v>
      </c>
      <c r="L86" s="116">
        <v>1444.62</v>
      </c>
      <c r="M86" s="116">
        <v>1719</v>
      </c>
      <c r="N86" s="116">
        <f>1322.2+469</f>
        <v>1791.2</v>
      </c>
      <c r="O86" s="116">
        <v>1864.7</v>
      </c>
      <c r="P86" s="111"/>
      <c r="Q86" s="111"/>
      <c r="R86" s="111"/>
      <c r="S86" s="111"/>
      <c r="T86" s="111"/>
      <c r="U86" s="111"/>
      <c r="V86" s="111"/>
      <c r="W86" s="111"/>
    </row>
    <row r="87" spans="1:23" s="112" customFormat="1" ht="51" hidden="1" customHeight="1" x14ac:dyDescent="0.3">
      <c r="A87" s="420"/>
      <c r="B87" s="372"/>
      <c r="C87" s="119" t="s">
        <v>153</v>
      </c>
      <c r="D87" s="120"/>
      <c r="E87" s="115" t="s">
        <v>154</v>
      </c>
      <c r="F87" s="108" t="s">
        <v>19</v>
      </c>
      <c r="G87" s="108" t="s">
        <v>134</v>
      </c>
      <c r="H87" s="108" t="s">
        <v>155</v>
      </c>
      <c r="I87" s="108" t="s">
        <v>156</v>
      </c>
      <c r="J87" s="121">
        <v>0</v>
      </c>
      <c r="K87" s="121">
        <v>0</v>
      </c>
      <c r="L87" s="121">
        <v>0</v>
      </c>
      <c r="M87" s="121">
        <v>0</v>
      </c>
      <c r="N87" s="121">
        <v>0</v>
      </c>
      <c r="O87" s="121">
        <v>0</v>
      </c>
      <c r="P87" s="111"/>
      <c r="Q87" s="111"/>
      <c r="R87" s="111"/>
      <c r="S87" s="111"/>
      <c r="T87" s="111"/>
      <c r="U87" s="111"/>
      <c r="V87" s="111"/>
      <c r="W87" s="111"/>
    </row>
    <row r="88" spans="1:23" s="74" customFormat="1" ht="43.5" customHeight="1" x14ac:dyDescent="0.3">
      <c r="A88" s="420"/>
      <c r="B88" s="372"/>
      <c r="C88" s="115" t="s">
        <v>157</v>
      </c>
      <c r="D88" s="122"/>
      <c r="E88" s="115" t="s">
        <v>158</v>
      </c>
      <c r="F88" s="108" t="s">
        <v>19</v>
      </c>
      <c r="G88" s="108" t="s">
        <v>134</v>
      </c>
      <c r="H88" s="108" t="s">
        <v>159</v>
      </c>
      <c r="I88" s="108"/>
      <c r="J88" s="121">
        <f t="shared" ref="J88:N88" si="22">J89+J90+J91</f>
        <v>920.1</v>
      </c>
      <c r="K88" s="121">
        <f t="shared" si="22"/>
        <v>920.1</v>
      </c>
      <c r="L88" s="116">
        <f t="shared" si="22"/>
        <v>12756.13</v>
      </c>
      <c r="M88" s="116">
        <f t="shared" si="22"/>
        <v>30000.9</v>
      </c>
      <c r="N88" s="116">
        <f t="shared" si="22"/>
        <v>36016.6</v>
      </c>
      <c r="O88" s="116">
        <f>SUM(O89:O91)</f>
        <v>37000</v>
      </c>
      <c r="P88" s="73"/>
      <c r="Q88" s="73"/>
      <c r="R88" s="73"/>
      <c r="S88" s="73"/>
      <c r="T88" s="73"/>
      <c r="U88" s="73"/>
      <c r="V88" s="73"/>
      <c r="W88" s="73"/>
    </row>
    <row r="89" spans="1:23" s="112" customFormat="1" ht="90.75" customHeight="1" x14ac:dyDescent="0.3">
      <c r="A89" s="420"/>
      <c r="B89" s="372"/>
      <c r="C89" s="82" t="s">
        <v>80</v>
      </c>
      <c r="D89" s="82" t="s">
        <v>160</v>
      </c>
      <c r="E89" s="80" t="s">
        <v>161</v>
      </c>
      <c r="F89" s="109"/>
      <c r="G89" s="109"/>
      <c r="H89" s="109"/>
      <c r="I89" s="109" t="s">
        <v>31</v>
      </c>
      <c r="J89" s="78">
        <v>51</v>
      </c>
      <c r="K89" s="78">
        <v>51</v>
      </c>
      <c r="L89" s="78">
        <v>6</v>
      </c>
      <c r="M89" s="78">
        <v>0</v>
      </c>
      <c r="N89" s="78">
        <v>0</v>
      </c>
      <c r="O89" s="78">
        <v>0</v>
      </c>
      <c r="P89" s="111"/>
      <c r="Q89" s="111"/>
      <c r="R89" s="111"/>
      <c r="S89" s="111"/>
      <c r="T89" s="111"/>
      <c r="U89" s="111"/>
      <c r="V89" s="111"/>
      <c r="W89" s="111"/>
    </row>
    <row r="90" spans="1:23" s="112" customFormat="1" ht="62.25" customHeight="1" x14ac:dyDescent="0.3">
      <c r="A90" s="420"/>
      <c r="B90" s="372"/>
      <c r="C90" s="250" t="s">
        <v>162</v>
      </c>
      <c r="D90" s="82" t="s">
        <v>163</v>
      </c>
      <c r="E90" s="80" t="s">
        <v>164</v>
      </c>
      <c r="F90" s="109"/>
      <c r="G90" s="109"/>
      <c r="H90" s="109"/>
      <c r="I90" s="109" t="s">
        <v>90</v>
      </c>
      <c r="J90" s="78">
        <v>198.9</v>
      </c>
      <c r="K90" s="78">
        <v>198.9</v>
      </c>
      <c r="L90" s="78">
        <v>12750.13</v>
      </c>
      <c r="M90" s="78">
        <v>30000.9</v>
      </c>
      <c r="N90" s="78">
        <v>36016.6</v>
      </c>
      <c r="O90" s="78">
        <v>37000</v>
      </c>
      <c r="P90" s="111"/>
      <c r="Q90" s="111"/>
      <c r="R90" s="111"/>
      <c r="S90" s="111"/>
      <c r="T90" s="111"/>
      <c r="U90" s="111"/>
      <c r="V90" s="111"/>
      <c r="W90" s="111"/>
    </row>
    <row r="91" spans="1:23" s="112" customFormat="1" ht="134.25" customHeight="1" x14ac:dyDescent="0.3">
      <c r="A91" s="420"/>
      <c r="B91" s="372"/>
      <c r="C91" s="82" t="s">
        <v>142</v>
      </c>
      <c r="D91" s="123" t="s">
        <v>165</v>
      </c>
      <c r="E91" s="80" t="s">
        <v>166</v>
      </c>
      <c r="F91" s="109"/>
      <c r="G91" s="109"/>
      <c r="H91" s="109"/>
      <c r="I91" s="109" t="s">
        <v>39</v>
      </c>
      <c r="J91" s="78">
        <v>670.2</v>
      </c>
      <c r="K91" s="78">
        <v>670.2</v>
      </c>
      <c r="L91" s="78">
        <v>0</v>
      </c>
      <c r="M91" s="78">
        <v>0</v>
      </c>
      <c r="N91" s="78">
        <v>0</v>
      </c>
      <c r="O91" s="78">
        <v>0</v>
      </c>
      <c r="P91" s="111" t="s">
        <v>167</v>
      </c>
      <c r="Q91" s="111"/>
      <c r="R91" s="111"/>
      <c r="S91" s="111"/>
      <c r="T91" s="111"/>
      <c r="U91" s="111"/>
      <c r="V91" s="111"/>
      <c r="W91" s="111"/>
    </row>
    <row r="92" spans="1:23" s="74" customFormat="1" ht="121.5" customHeight="1" x14ac:dyDescent="0.3">
      <c r="A92" s="420"/>
      <c r="B92" s="372"/>
      <c r="C92" s="107" t="s">
        <v>168</v>
      </c>
      <c r="D92" s="124"/>
      <c r="E92" s="107" t="s">
        <v>169</v>
      </c>
      <c r="F92" s="108" t="s">
        <v>19</v>
      </c>
      <c r="G92" s="108" t="s">
        <v>134</v>
      </c>
      <c r="H92" s="108" t="s">
        <v>170</v>
      </c>
      <c r="I92" s="108"/>
      <c r="J92" s="116">
        <f t="shared" ref="J92:K92" si="23">J93</f>
        <v>5079.2</v>
      </c>
      <c r="K92" s="116">
        <f t="shared" si="23"/>
        <v>5015.3</v>
      </c>
      <c r="L92" s="116">
        <f>L93</f>
        <v>4849.82</v>
      </c>
      <c r="M92" s="116">
        <f>M93</f>
        <v>5006.3999999999996</v>
      </c>
      <c r="N92" s="116">
        <f>N93</f>
        <v>5216.7</v>
      </c>
      <c r="O92" s="116">
        <f>SUM(O93)</f>
        <v>5430.6</v>
      </c>
      <c r="P92" s="73"/>
      <c r="Q92" s="73"/>
      <c r="R92" s="73"/>
      <c r="S92" s="73"/>
      <c r="T92" s="73"/>
      <c r="U92" s="73"/>
      <c r="V92" s="73"/>
      <c r="W92" s="73"/>
    </row>
    <row r="93" spans="1:23" s="74" customFormat="1" ht="137.25" customHeight="1" x14ac:dyDescent="0.3">
      <c r="A93" s="420"/>
      <c r="B93" s="372"/>
      <c r="C93" s="84" t="s">
        <v>171</v>
      </c>
      <c r="D93" s="117" t="s">
        <v>172</v>
      </c>
      <c r="E93" s="80" t="s">
        <v>173</v>
      </c>
      <c r="F93" s="109"/>
      <c r="G93" s="109"/>
      <c r="H93" s="109"/>
      <c r="I93" s="109" t="s">
        <v>31</v>
      </c>
      <c r="J93" s="78">
        <v>5079.2</v>
      </c>
      <c r="K93" s="78">
        <v>5015.3</v>
      </c>
      <c r="L93" s="78">
        <v>4849.82</v>
      </c>
      <c r="M93" s="78">
        <v>5006.3999999999996</v>
      </c>
      <c r="N93" s="78">
        <v>5216.7</v>
      </c>
      <c r="O93" s="78">
        <v>5430.6</v>
      </c>
      <c r="P93" s="73"/>
      <c r="Q93" s="73"/>
      <c r="R93" s="73"/>
      <c r="S93" s="73"/>
      <c r="T93" s="73"/>
      <c r="U93" s="73"/>
      <c r="V93" s="73"/>
      <c r="W93" s="73"/>
    </row>
    <row r="94" spans="1:23" s="74" customFormat="1" ht="102" customHeight="1" x14ac:dyDescent="0.3">
      <c r="A94" s="420"/>
      <c r="B94" s="372"/>
      <c r="C94" s="125" t="s">
        <v>174</v>
      </c>
      <c r="D94" s="115"/>
      <c r="E94" s="115" t="s">
        <v>175</v>
      </c>
      <c r="F94" s="108" t="s">
        <v>19</v>
      </c>
      <c r="G94" s="108" t="s">
        <v>134</v>
      </c>
      <c r="H94" s="108" t="s">
        <v>176</v>
      </c>
      <c r="I94" s="108"/>
      <c r="J94" s="121">
        <f t="shared" ref="J94:N94" si="24">J95</f>
        <v>442.7</v>
      </c>
      <c r="K94" s="121">
        <f t="shared" si="24"/>
        <v>442.7</v>
      </c>
      <c r="L94" s="116">
        <f t="shared" si="24"/>
        <v>654</v>
      </c>
      <c r="M94" s="116">
        <f t="shared" si="24"/>
        <v>720.6</v>
      </c>
      <c r="N94" s="116">
        <f t="shared" si="24"/>
        <v>750.8</v>
      </c>
      <c r="O94" s="116">
        <f>SUM(O95)</f>
        <v>781.7</v>
      </c>
      <c r="P94" s="73"/>
      <c r="Q94" s="73"/>
      <c r="R94" s="73"/>
      <c r="S94" s="73"/>
      <c r="T94" s="73"/>
      <c r="U94" s="73"/>
      <c r="V94" s="73"/>
      <c r="W94" s="73"/>
    </row>
    <row r="95" spans="1:23" s="74" customFormat="1" ht="111" customHeight="1" x14ac:dyDescent="0.3">
      <c r="A95" s="420"/>
      <c r="B95" s="372"/>
      <c r="C95" s="84" t="s">
        <v>171</v>
      </c>
      <c r="D95" s="80" t="s">
        <v>177</v>
      </c>
      <c r="E95" s="80" t="s">
        <v>151</v>
      </c>
      <c r="F95" s="70"/>
      <c r="G95" s="70"/>
      <c r="H95" s="70"/>
      <c r="I95" s="109" t="s">
        <v>31</v>
      </c>
      <c r="J95" s="92">
        <v>442.7</v>
      </c>
      <c r="K95" s="92">
        <v>442.7</v>
      </c>
      <c r="L95" s="78">
        <v>654</v>
      </c>
      <c r="M95" s="78">
        <v>720.6</v>
      </c>
      <c r="N95" s="78">
        <v>750.8</v>
      </c>
      <c r="O95" s="78">
        <v>781.7</v>
      </c>
      <c r="P95" s="73"/>
      <c r="Q95" s="73"/>
      <c r="R95" s="73"/>
      <c r="S95" s="73"/>
      <c r="T95" s="73"/>
      <c r="U95" s="73"/>
      <c r="V95" s="73"/>
      <c r="W95" s="73"/>
    </row>
    <row r="96" spans="1:23" s="74" customFormat="1" ht="114" customHeight="1" x14ac:dyDescent="0.3">
      <c r="A96" s="126"/>
      <c r="B96" s="372"/>
      <c r="C96" s="251" t="s">
        <v>178</v>
      </c>
      <c r="D96" s="115"/>
      <c r="E96" s="80" t="s">
        <v>179</v>
      </c>
      <c r="F96" s="70" t="s">
        <v>72</v>
      </c>
      <c r="G96" s="70" t="s">
        <v>105</v>
      </c>
      <c r="H96" s="70" t="s">
        <v>180</v>
      </c>
      <c r="I96" s="70" t="s">
        <v>31</v>
      </c>
      <c r="J96" s="128">
        <v>494.2</v>
      </c>
      <c r="K96" s="128">
        <v>494.2</v>
      </c>
      <c r="L96" s="71">
        <v>2087.1</v>
      </c>
      <c r="M96" s="71">
        <v>1178.0999999999999</v>
      </c>
      <c r="N96" s="71">
        <v>1227.5</v>
      </c>
      <c r="O96" s="71">
        <v>1277.9000000000001</v>
      </c>
      <c r="P96" s="127"/>
      <c r="Q96" s="73"/>
      <c r="R96" s="73"/>
      <c r="S96" s="73"/>
      <c r="T96" s="73"/>
      <c r="U96" s="73"/>
      <c r="V96" s="73"/>
      <c r="W96" s="73"/>
    </row>
    <row r="97" spans="1:23" s="74" customFormat="1" ht="110.25" customHeight="1" x14ac:dyDescent="0.3">
      <c r="A97" s="126"/>
      <c r="B97" s="179"/>
      <c r="C97" s="84" t="s">
        <v>171</v>
      </c>
      <c r="D97" s="80" t="s">
        <v>181</v>
      </c>
      <c r="E97" s="80" t="s">
        <v>173</v>
      </c>
      <c r="F97" s="70" t="s">
        <v>72</v>
      </c>
      <c r="G97" s="70" t="s">
        <v>105</v>
      </c>
      <c r="H97" s="70" t="s">
        <v>182</v>
      </c>
      <c r="I97" s="70" t="s">
        <v>31</v>
      </c>
      <c r="J97" s="71">
        <v>1150</v>
      </c>
      <c r="K97" s="71">
        <v>1150</v>
      </c>
      <c r="L97" s="71">
        <v>5690</v>
      </c>
      <c r="M97" s="71">
        <v>0</v>
      </c>
      <c r="N97" s="71">
        <v>0</v>
      </c>
      <c r="O97" s="71">
        <v>0</v>
      </c>
      <c r="P97" s="127"/>
      <c r="Q97" s="73"/>
      <c r="R97" s="73"/>
      <c r="S97" s="73"/>
      <c r="T97" s="73"/>
      <c r="U97" s="73"/>
      <c r="V97" s="73"/>
      <c r="W97" s="73"/>
    </row>
    <row r="98" spans="1:23" s="74" customFormat="1" ht="110.25" customHeight="1" x14ac:dyDescent="0.3">
      <c r="A98" s="126"/>
      <c r="B98" s="179"/>
      <c r="C98" s="84" t="s">
        <v>171</v>
      </c>
      <c r="D98" s="115"/>
      <c r="E98" s="80" t="s">
        <v>173</v>
      </c>
      <c r="F98" s="70" t="s">
        <v>72</v>
      </c>
      <c r="G98" s="70" t="s">
        <v>105</v>
      </c>
      <c r="H98" s="70" t="s">
        <v>183</v>
      </c>
      <c r="I98" s="70" t="s">
        <v>31</v>
      </c>
      <c r="J98" s="128">
        <v>0</v>
      </c>
      <c r="K98" s="128">
        <v>0</v>
      </c>
      <c r="L98" s="71">
        <v>1050</v>
      </c>
      <c r="M98" s="71">
        <v>0</v>
      </c>
      <c r="N98" s="71">
        <v>0</v>
      </c>
      <c r="O98" s="71">
        <v>0</v>
      </c>
      <c r="P98" s="127"/>
      <c r="Q98" s="73"/>
      <c r="R98" s="73"/>
      <c r="S98" s="73"/>
      <c r="T98" s="73"/>
      <c r="U98" s="73"/>
      <c r="V98" s="73"/>
      <c r="W98" s="73"/>
    </row>
    <row r="99" spans="1:23" s="74" customFormat="1" ht="110.25" customHeight="1" x14ac:dyDescent="0.3">
      <c r="A99" s="126"/>
      <c r="B99" s="179"/>
      <c r="C99" s="84" t="s">
        <v>171</v>
      </c>
      <c r="D99" s="115"/>
      <c r="E99" s="80" t="s">
        <v>184</v>
      </c>
      <c r="F99" s="70" t="s">
        <v>72</v>
      </c>
      <c r="G99" s="70" t="s">
        <v>105</v>
      </c>
      <c r="H99" s="70" t="s">
        <v>185</v>
      </c>
      <c r="I99" s="70" t="s">
        <v>31</v>
      </c>
      <c r="J99" s="128">
        <v>0</v>
      </c>
      <c r="K99" s="128">
        <v>0</v>
      </c>
      <c r="L99" s="71">
        <v>0</v>
      </c>
      <c r="M99" s="71">
        <v>0</v>
      </c>
      <c r="N99" s="71">
        <v>7675.7</v>
      </c>
      <c r="O99" s="71">
        <v>0</v>
      </c>
      <c r="P99" s="127"/>
      <c r="Q99" s="73"/>
      <c r="R99" s="73"/>
      <c r="S99" s="73"/>
      <c r="T99" s="73"/>
      <c r="U99" s="73"/>
      <c r="V99" s="73"/>
      <c r="W99" s="73"/>
    </row>
    <row r="100" spans="1:23" s="74" customFormat="1" ht="110.25" customHeight="1" x14ac:dyDescent="0.3">
      <c r="A100" s="126"/>
      <c r="B100" s="179"/>
      <c r="C100" s="84" t="s">
        <v>171</v>
      </c>
      <c r="D100" s="115"/>
      <c r="E100" s="80" t="s">
        <v>186</v>
      </c>
      <c r="F100" s="70" t="s">
        <v>72</v>
      </c>
      <c r="G100" s="70" t="s">
        <v>105</v>
      </c>
      <c r="H100" s="70" t="s">
        <v>187</v>
      </c>
      <c r="I100" s="70" t="s">
        <v>31</v>
      </c>
      <c r="J100" s="128">
        <v>0</v>
      </c>
      <c r="K100" s="128">
        <v>0</v>
      </c>
      <c r="L100" s="71">
        <v>0</v>
      </c>
      <c r="M100" s="71">
        <v>98.1</v>
      </c>
      <c r="N100" s="71">
        <v>0</v>
      </c>
      <c r="O100" s="71">
        <v>0</v>
      </c>
      <c r="P100" s="127"/>
      <c r="Q100" s="73"/>
      <c r="R100" s="73"/>
      <c r="S100" s="73"/>
      <c r="T100" s="73"/>
      <c r="U100" s="73"/>
      <c r="V100" s="73"/>
      <c r="W100" s="73"/>
    </row>
    <row r="101" spans="1:23" s="106" customFormat="1" ht="75" customHeight="1" x14ac:dyDescent="0.3">
      <c r="A101" s="419">
        <v>902</v>
      </c>
      <c r="B101" s="379" t="s">
        <v>188</v>
      </c>
      <c r="C101" s="115" t="s">
        <v>189</v>
      </c>
      <c r="D101" s="142" t="s">
        <v>190</v>
      </c>
      <c r="E101" s="226" t="s">
        <v>191</v>
      </c>
      <c r="F101" s="70"/>
      <c r="G101" s="109"/>
      <c r="H101" s="109"/>
      <c r="I101" s="109"/>
      <c r="J101" s="71">
        <f>J102+J104</f>
        <v>2377.7999999999997</v>
      </c>
      <c r="K101" s="71">
        <f>SUM(K102:K105)</f>
        <v>2377.7999999999997</v>
      </c>
      <c r="L101" s="71">
        <f t="shared" ref="L101:O101" si="25">SUM(L102:L105)</f>
        <v>2150.1699999999996</v>
      </c>
      <c r="M101" s="71">
        <f t="shared" si="25"/>
        <v>2814.7</v>
      </c>
      <c r="N101" s="71">
        <f t="shared" si="25"/>
        <v>3138.4</v>
      </c>
      <c r="O101" s="71">
        <f t="shared" si="25"/>
        <v>3267.1</v>
      </c>
      <c r="P101" s="105"/>
      <c r="Q101" s="105"/>
      <c r="R101" s="105"/>
      <c r="S101" s="105"/>
      <c r="T101" s="105"/>
      <c r="U101" s="105"/>
      <c r="V101" s="105"/>
      <c r="W101" s="105"/>
    </row>
    <row r="102" spans="1:23" s="112" customFormat="1" ht="106.5" customHeight="1" x14ac:dyDescent="0.3">
      <c r="A102" s="420"/>
      <c r="B102" s="372"/>
      <c r="C102" s="107" t="s">
        <v>192</v>
      </c>
      <c r="D102" s="82" t="s">
        <v>193</v>
      </c>
      <c r="E102" s="82" t="s">
        <v>194</v>
      </c>
      <c r="F102" s="70" t="s">
        <v>72</v>
      </c>
      <c r="G102" s="70" t="s">
        <v>110</v>
      </c>
      <c r="H102" s="70" t="s">
        <v>195</v>
      </c>
      <c r="I102" s="70" t="s">
        <v>31</v>
      </c>
      <c r="J102" s="71">
        <v>2323.6999999999998</v>
      </c>
      <c r="K102" s="71">
        <v>2323.6999999999998</v>
      </c>
      <c r="L102" s="71">
        <v>2093.9699999999998</v>
      </c>
      <c r="M102" s="71">
        <v>0</v>
      </c>
      <c r="N102" s="71">
        <v>0</v>
      </c>
      <c r="O102" s="71">
        <v>0</v>
      </c>
      <c r="P102" s="129"/>
      <c r="Q102" s="111"/>
      <c r="R102" s="111"/>
      <c r="S102" s="111"/>
      <c r="T102" s="111"/>
      <c r="U102" s="111"/>
      <c r="V102" s="111"/>
      <c r="W102" s="111"/>
    </row>
    <row r="103" spans="1:23" s="112" customFormat="1" ht="84.75" customHeight="1" x14ac:dyDescent="0.3">
      <c r="A103" s="420"/>
      <c r="B103" s="372"/>
      <c r="C103" s="115" t="s">
        <v>196</v>
      </c>
      <c r="D103" s="82"/>
      <c r="E103" s="82" t="s">
        <v>197</v>
      </c>
      <c r="F103" s="70" t="s">
        <v>72</v>
      </c>
      <c r="G103" s="70" t="s">
        <v>110</v>
      </c>
      <c r="H103" s="70" t="s">
        <v>198</v>
      </c>
      <c r="I103" s="70" t="s">
        <v>31</v>
      </c>
      <c r="J103" s="71">
        <v>0</v>
      </c>
      <c r="K103" s="71">
        <v>0</v>
      </c>
      <c r="L103" s="71">
        <v>0</v>
      </c>
      <c r="M103" s="71">
        <v>2760.6</v>
      </c>
      <c r="N103" s="71">
        <v>3077.3</v>
      </c>
      <c r="O103" s="71">
        <v>3203.5</v>
      </c>
      <c r="P103" s="129"/>
      <c r="Q103" s="111"/>
      <c r="R103" s="111"/>
      <c r="S103" s="111"/>
      <c r="T103" s="111"/>
      <c r="U103" s="111"/>
      <c r="V103" s="111"/>
      <c r="W103" s="111"/>
    </row>
    <row r="104" spans="1:23" s="112" customFormat="1" ht="81" customHeight="1" x14ac:dyDescent="0.3">
      <c r="A104" s="420"/>
      <c r="B104" s="372"/>
      <c r="C104" s="414" t="s">
        <v>199</v>
      </c>
      <c r="D104" s="82" t="s">
        <v>200</v>
      </c>
      <c r="E104" s="142" t="s">
        <v>201</v>
      </c>
      <c r="F104" s="70" t="s">
        <v>72</v>
      </c>
      <c r="G104" s="70" t="s">
        <v>110</v>
      </c>
      <c r="H104" s="70" t="s">
        <v>202</v>
      </c>
      <c r="I104" s="70" t="s">
        <v>31</v>
      </c>
      <c r="J104" s="71">
        <v>54.1</v>
      </c>
      <c r="K104" s="71">
        <v>54.1</v>
      </c>
      <c r="L104" s="71">
        <v>56.2</v>
      </c>
      <c r="M104" s="71">
        <v>0</v>
      </c>
      <c r="N104" s="71">
        <v>0</v>
      </c>
      <c r="O104" s="71">
        <v>0</v>
      </c>
      <c r="P104" s="111"/>
      <c r="Q104" s="111"/>
      <c r="R104" s="111"/>
      <c r="S104" s="111"/>
      <c r="T104" s="111"/>
      <c r="U104" s="111"/>
      <c r="V104" s="111"/>
      <c r="W104" s="111"/>
    </row>
    <row r="105" spans="1:23" s="112" customFormat="1" ht="42" customHeight="1" x14ac:dyDescent="0.3">
      <c r="A105" s="126"/>
      <c r="B105" s="179"/>
      <c r="C105" s="415"/>
      <c r="D105" s="252"/>
      <c r="E105" s="82" t="s">
        <v>197</v>
      </c>
      <c r="F105" s="70" t="s">
        <v>72</v>
      </c>
      <c r="G105" s="70" t="s">
        <v>110</v>
      </c>
      <c r="H105" s="70" t="s">
        <v>203</v>
      </c>
      <c r="I105" s="70" t="s">
        <v>31</v>
      </c>
      <c r="J105" s="71">
        <v>0</v>
      </c>
      <c r="K105" s="71">
        <v>0</v>
      </c>
      <c r="L105" s="71">
        <v>0</v>
      </c>
      <c r="M105" s="71">
        <v>54.1</v>
      </c>
      <c r="N105" s="71">
        <v>61.1</v>
      </c>
      <c r="O105" s="71">
        <v>63.6</v>
      </c>
      <c r="P105" s="111"/>
      <c r="Q105" s="111"/>
      <c r="R105" s="111"/>
      <c r="S105" s="111"/>
      <c r="T105" s="111"/>
      <c r="U105" s="111"/>
      <c r="V105" s="111"/>
      <c r="W105" s="111"/>
    </row>
    <row r="106" spans="1:23" s="106" customFormat="1" ht="92.25" customHeight="1" x14ac:dyDescent="0.3">
      <c r="A106" s="379">
        <v>902</v>
      </c>
      <c r="B106" s="378" t="s">
        <v>204</v>
      </c>
      <c r="C106" s="115" t="s">
        <v>205</v>
      </c>
      <c r="D106" s="142" t="s">
        <v>206</v>
      </c>
      <c r="E106" s="115" t="s">
        <v>207</v>
      </c>
      <c r="F106" s="108"/>
      <c r="G106" s="108"/>
      <c r="H106" s="108"/>
      <c r="I106" s="108"/>
      <c r="J106" s="121">
        <f>J107+J108</f>
        <v>112</v>
      </c>
      <c r="K106" s="121">
        <f t="shared" ref="K106:O106" si="26">K107+K108</f>
        <v>112</v>
      </c>
      <c r="L106" s="121">
        <f t="shared" si="26"/>
        <v>483.90999999999997</v>
      </c>
      <c r="M106" s="121">
        <f t="shared" si="26"/>
        <v>532.1</v>
      </c>
      <c r="N106" s="121">
        <f t="shared" si="26"/>
        <v>126.5</v>
      </c>
      <c r="O106" s="121">
        <f t="shared" si="26"/>
        <v>577.70000000000005</v>
      </c>
      <c r="P106" s="105"/>
      <c r="Q106" s="105"/>
      <c r="R106" s="105"/>
      <c r="S106" s="105"/>
      <c r="T106" s="105"/>
      <c r="U106" s="105"/>
      <c r="V106" s="105"/>
      <c r="W106" s="105"/>
    </row>
    <row r="107" spans="1:23" s="74" customFormat="1" ht="103.5" customHeight="1" x14ac:dyDescent="0.3">
      <c r="A107" s="380"/>
      <c r="B107" s="373"/>
      <c r="C107" s="84" t="s">
        <v>171</v>
      </c>
      <c r="D107" s="83" t="s">
        <v>208</v>
      </c>
      <c r="E107" s="83" t="s">
        <v>209</v>
      </c>
      <c r="F107" s="109" t="s">
        <v>19</v>
      </c>
      <c r="G107" s="109" t="s">
        <v>134</v>
      </c>
      <c r="H107" s="109" t="s">
        <v>210</v>
      </c>
      <c r="I107" s="109" t="s">
        <v>31</v>
      </c>
      <c r="J107" s="92">
        <v>112</v>
      </c>
      <c r="K107" s="92">
        <v>112</v>
      </c>
      <c r="L107" s="92">
        <v>90.03</v>
      </c>
      <c r="M107" s="92">
        <v>121.4</v>
      </c>
      <c r="N107" s="92">
        <v>126.5</v>
      </c>
      <c r="O107" s="92">
        <v>131.69999999999999</v>
      </c>
      <c r="P107" s="73"/>
      <c r="Q107" s="73"/>
      <c r="R107" s="73"/>
      <c r="S107" s="73"/>
      <c r="T107" s="73"/>
      <c r="U107" s="73"/>
      <c r="V107" s="73"/>
      <c r="W107" s="73"/>
    </row>
    <row r="108" spans="1:23" s="74" customFormat="1" ht="66" customHeight="1" x14ac:dyDescent="0.3">
      <c r="A108" s="179"/>
      <c r="B108" s="374"/>
      <c r="C108" s="84" t="s">
        <v>211</v>
      </c>
      <c r="D108" s="83"/>
      <c r="E108" s="83" t="s">
        <v>212</v>
      </c>
      <c r="F108" s="109" t="s">
        <v>19</v>
      </c>
      <c r="G108" s="109" t="s">
        <v>134</v>
      </c>
      <c r="H108" s="109" t="s">
        <v>213</v>
      </c>
      <c r="I108" s="109" t="s">
        <v>39</v>
      </c>
      <c r="J108" s="92">
        <v>0</v>
      </c>
      <c r="K108" s="92">
        <v>0</v>
      </c>
      <c r="L108" s="92">
        <v>393.88</v>
      </c>
      <c r="M108" s="92">
        <v>410.7</v>
      </c>
      <c r="N108" s="92">
        <v>0</v>
      </c>
      <c r="O108" s="92">
        <v>446</v>
      </c>
      <c r="P108" s="73"/>
      <c r="Q108" s="73"/>
      <c r="R108" s="73"/>
      <c r="S108" s="73"/>
      <c r="T108" s="73"/>
      <c r="U108" s="73"/>
      <c r="V108" s="73"/>
      <c r="W108" s="73"/>
    </row>
    <row r="109" spans="1:23" s="106" customFormat="1" ht="78" customHeight="1" x14ac:dyDescent="0.3">
      <c r="A109" s="130">
        <v>902</v>
      </c>
      <c r="B109" s="400" t="s">
        <v>214</v>
      </c>
      <c r="C109" s="115" t="s">
        <v>215</v>
      </c>
      <c r="D109" s="115" t="s">
        <v>216</v>
      </c>
      <c r="E109" s="115" t="s">
        <v>217</v>
      </c>
      <c r="F109" s="109"/>
      <c r="G109" s="109"/>
      <c r="H109" s="70" t="s">
        <v>218</v>
      </c>
      <c r="I109" s="109"/>
      <c r="J109" s="128">
        <f>J110+J111</f>
        <v>150.10000000000002</v>
      </c>
      <c r="K109" s="128">
        <f t="shared" ref="K109:O109" si="27">K110+K111</f>
        <v>150.10000000000002</v>
      </c>
      <c r="L109" s="128">
        <f t="shared" si="27"/>
        <v>163.66</v>
      </c>
      <c r="M109" s="128">
        <f t="shared" si="27"/>
        <v>104.2</v>
      </c>
      <c r="N109" s="128">
        <f t="shared" si="27"/>
        <v>108.6</v>
      </c>
      <c r="O109" s="128">
        <f t="shared" si="27"/>
        <v>113</v>
      </c>
      <c r="P109" s="105"/>
      <c r="Q109" s="105"/>
      <c r="R109" s="105"/>
      <c r="S109" s="105"/>
      <c r="T109" s="105"/>
      <c r="U109" s="105"/>
      <c r="V109" s="105"/>
      <c r="W109" s="105"/>
    </row>
    <row r="110" spans="1:23" s="134" customFormat="1" ht="121.5" customHeight="1" x14ac:dyDescent="0.3">
      <c r="A110" s="131"/>
      <c r="B110" s="400"/>
      <c r="C110" s="83" t="s">
        <v>219</v>
      </c>
      <c r="D110" s="83" t="s">
        <v>219</v>
      </c>
      <c r="E110" s="132" t="s">
        <v>161</v>
      </c>
      <c r="F110" s="109" t="s">
        <v>20</v>
      </c>
      <c r="G110" s="109" t="s">
        <v>220</v>
      </c>
      <c r="H110" s="109" t="s">
        <v>218</v>
      </c>
      <c r="I110" s="109" t="s">
        <v>31</v>
      </c>
      <c r="J110" s="92">
        <v>130.80000000000001</v>
      </c>
      <c r="K110" s="92">
        <v>130.80000000000001</v>
      </c>
      <c r="L110" s="92">
        <v>163.66</v>
      </c>
      <c r="M110" s="92">
        <v>104.2</v>
      </c>
      <c r="N110" s="92">
        <v>108.6</v>
      </c>
      <c r="O110" s="92">
        <v>113</v>
      </c>
      <c r="P110" s="133"/>
      <c r="Q110" s="133"/>
      <c r="R110" s="133"/>
      <c r="S110" s="133"/>
      <c r="T110" s="133"/>
      <c r="U110" s="133"/>
      <c r="V110" s="133"/>
      <c r="W110" s="133"/>
    </row>
    <row r="111" spans="1:23" s="134" customFormat="1" ht="54" customHeight="1" x14ac:dyDescent="0.3">
      <c r="A111" s="131"/>
      <c r="B111" s="400"/>
      <c r="C111" s="132" t="s">
        <v>221</v>
      </c>
      <c r="D111" s="132" t="s">
        <v>221</v>
      </c>
      <c r="E111" s="132" t="s">
        <v>222</v>
      </c>
      <c r="F111" s="109" t="s">
        <v>20</v>
      </c>
      <c r="G111" s="109" t="s">
        <v>220</v>
      </c>
      <c r="H111" s="109" t="s">
        <v>218</v>
      </c>
      <c r="I111" s="109" t="s">
        <v>223</v>
      </c>
      <c r="J111" s="92">
        <v>19.3</v>
      </c>
      <c r="K111" s="92">
        <v>19.3</v>
      </c>
      <c r="L111" s="92">
        <v>0</v>
      </c>
      <c r="M111" s="92">
        <v>0</v>
      </c>
      <c r="N111" s="92">
        <v>0</v>
      </c>
      <c r="O111" s="92">
        <v>0</v>
      </c>
      <c r="P111" s="133"/>
      <c r="Q111" s="133"/>
      <c r="R111" s="133"/>
      <c r="S111" s="133"/>
      <c r="T111" s="133"/>
      <c r="U111" s="133"/>
      <c r="V111" s="133"/>
      <c r="W111" s="133"/>
    </row>
    <row r="112" spans="1:23" s="135" customFormat="1" ht="69" customHeight="1" x14ac:dyDescent="0.3">
      <c r="A112" s="379">
        <v>902</v>
      </c>
      <c r="B112" s="400"/>
      <c r="C112" s="176" t="s">
        <v>224</v>
      </c>
      <c r="D112" s="142" t="s">
        <v>225</v>
      </c>
      <c r="E112" s="115" t="s">
        <v>226</v>
      </c>
      <c r="F112" s="70"/>
      <c r="G112" s="70"/>
      <c r="H112" s="70"/>
      <c r="I112" s="70"/>
      <c r="J112" s="71">
        <f>J113+J116+J115</f>
        <v>3671.34</v>
      </c>
      <c r="K112" s="71">
        <f t="shared" ref="K112" si="28">K113+K116+K115</f>
        <v>3671.34</v>
      </c>
      <c r="L112" s="71">
        <f>L113+L115+L116</f>
        <v>4066.1</v>
      </c>
      <c r="M112" s="71">
        <f>M113+M116+M115</f>
        <v>4672.0999999999995</v>
      </c>
      <c r="N112" s="71">
        <f>N113+N116+N115</f>
        <v>4607.7</v>
      </c>
      <c r="O112" s="71">
        <f t="shared" ref="O112" si="29">O113+O116+O115</f>
        <v>4796.7000000000007</v>
      </c>
      <c r="P112" s="65"/>
      <c r="Q112" s="65"/>
      <c r="R112" s="65"/>
      <c r="S112" s="65"/>
      <c r="T112" s="65"/>
      <c r="U112" s="65"/>
      <c r="V112" s="65"/>
      <c r="W112" s="65"/>
    </row>
    <row r="113" spans="1:23" s="112" customFormat="1" ht="93.75" customHeight="1" x14ac:dyDescent="0.3">
      <c r="A113" s="372"/>
      <c r="B113" s="400"/>
      <c r="C113" s="136" t="s">
        <v>227</v>
      </c>
      <c r="D113" s="137"/>
      <c r="E113" s="93" t="s">
        <v>228</v>
      </c>
      <c r="F113" s="108" t="s">
        <v>19</v>
      </c>
      <c r="G113" s="108" t="s">
        <v>134</v>
      </c>
      <c r="H113" s="108" t="s">
        <v>229</v>
      </c>
      <c r="I113" s="108"/>
      <c r="J113" s="121">
        <f t="shared" ref="J113:O113" si="30">J114</f>
        <v>171.34</v>
      </c>
      <c r="K113" s="121">
        <f t="shared" si="30"/>
        <v>171.34</v>
      </c>
      <c r="L113" s="121">
        <f t="shared" si="30"/>
        <v>66.099999999999994</v>
      </c>
      <c r="M113" s="121">
        <f t="shared" si="30"/>
        <v>447.9</v>
      </c>
      <c r="N113" s="121">
        <f t="shared" si="30"/>
        <v>206.2</v>
      </c>
      <c r="O113" s="121">
        <f t="shared" si="30"/>
        <v>214.6</v>
      </c>
      <c r="P113" s="111"/>
      <c r="Q113" s="111"/>
      <c r="R113" s="111"/>
      <c r="S113" s="111"/>
      <c r="T113" s="111"/>
      <c r="U113" s="111"/>
      <c r="V113" s="111"/>
      <c r="W113" s="111"/>
    </row>
    <row r="114" spans="1:23" s="112" customFormat="1" ht="122.25" customHeight="1" x14ac:dyDescent="0.3">
      <c r="A114" s="372"/>
      <c r="B114" s="400"/>
      <c r="C114" s="84" t="s">
        <v>171</v>
      </c>
      <c r="D114" s="195" t="s">
        <v>230</v>
      </c>
      <c r="E114" s="137" t="s">
        <v>209</v>
      </c>
      <c r="F114" s="70"/>
      <c r="G114" s="70"/>
      <c r="H114" s="70"/>
      <c r="I114" s="109" t="s">
        <v>31</v>
      </c>
      <c r="J114" s="92">
        <v>171.34</v>
      </c>
      <c r="K114" s="92">
        <v>171.34</v>
      </c>
      <c r="L114" s="92">
        <v>66.099999999999994</v>
      </c>
      <c r="M114" s="92">
        <v>447.9</v>
      </c>
      <c r="N114" s="92">
        <f>170+36.2</f>
        <v>206.2</v>
      </c>
      <c r="O114" s="92">
        <f>170+44.6</f>
        <v>214.6</v>
      </c>
      <c r="P114" s="111"/>
      <c r="Q114" s="111"/>
      <c r="R114" s="111"/>
      <c r="S114" s="111"/>
      <c r="T114" s="111"/>
      <c r="U114" s="111"/>
      <c r="V114" s="111"/>
      <c r="W114" s="111"/>
    </row>
    <row r="115" spans="1:23" s="112" customFormat="1" ht="119.25" customHeight="1" x14ac:dyDescent="0.3">
      <c r="A115" s="372"/>
      <c r="B115" s="253" t="s">
        <v>231</v>
      </c>
      <c r="C115" s="93" t="s">
        <v>232</v>
      </c>
      <c r="D115" s="93"/>
      <c r="E115" s="93" t="s">
        <v>233</v>
      </c>
      <c r="F115" s="108" t="s">
        <v>19</v>
      </c>
      <c r="G115" s="108" t="s">
        <v>134</v>
      </c>
      <c r="H115" s="108" t="s">
        <v>234</v>
      </c>
      <c r="I115" s="70" t="s">
        <v>31</v>
      </c>
      <c r="J115" s="128">
        <v>0</v>
      </c>
      <c r="K115" s="128">
        <v>0</v>
      </c>
      <c r="L115" s="128">
        <v>0</v>
      </c>
      <c r="M115" s="128">
        <v>52.2</v>
      </c>
      <c r="N115" s="128">
        <v>54.3</v>
      </c>
      <c r="O115" s="128">
        <v>56.6</v>
      </c>
      <c r="P115" s="111"/>
      <c r="Q115" s="111"/>
      <c r="R115" s="111"/>
      <c r="S115" s="111"/>
      <c r="T115" s="111"/>
      <c r="U115" s="111"/>
      <c r="V115" s="111"/>
      <c r="W115" s="111"/>
    </row>
    <row r="116" spans="1:23" s="112" customFormat="1" ht="122.25" customHeight="1" x14ac:dyDescent="0.3">
      <c r="A116" s="380"/>
      <c r="B116" s="254" t="s">
        <v>235</v>
      </c>
      <c r="C116" s="82" t="s">
        <v>236</v>
      </c>
      <c r="D116" s="137" t="s">
        <v>237</v>
      </c>
      <c r="E116" s="80" t="s">
        <v>238</v>
      </c>
      <c r="F116" s="108" t="s">
        <v>19</v>
      </c>
      <c r="G116" s="108" t="s">
        <v>134</v>
      </c>
      <c r="H116" s="108" t="s">
        <v>239</v>
      </c>
      <c r="I116" s="108" t="s">
        <v>240</v>
      </c>
      <c r="J116" s="116">
        <v>3500</v>
      </c>
      <c r="K116" s="116">
        <v>3500</v>
      </c>
      <c r="L116" s="116">
        <v>4000</v>
      </c>
      <c r="M116" s="116">
        <v>4172</v>
      </c>
      <c r="N116" s="116">
        <v>4347.2</v>
      </c>
      <c r="O116" s="116">
        <v>4525.5</v>
      </c>
      <c r="P116" s="111"/>
      <c r="Q116" s="111"/>
      <c r="R116" s="111"/>
      <c r="S116" s="111"/>
      <c r="T116" s="111"/>
      <c r="U116" s="111"/>
      <c r="V116" s="111"/>
      <c r="W116" s="111"/>
    </row>
    <row r="117" spans="1:23" s="106" customFormat="1" ht="92.25" customHeight="1" x14ac:dyDescent="0.3">
      <c r="A117" s="379">
        <v>902</v>
      </c>
      <c r="B117" s="400" t="s">
        <v>241</v>
      </c>
      <c r="C117" s="115" t="s">
        <v>242</v>
      </c>
      <c r="D117" s="255" t="s">
        <v>243</v>
      </c>
      <c r="E117" s="255" t="s">
        <v>244</v>
      </c>
      <c r="F117" s="109"/>
      <c r="G117" s="109"/>
      <c r="H117" s="109"/>
      <c r="I117" s="109"/>
      <c r="J117" s="71">
        <f t="shared" ref="J117:K117" si="31">J118+J119+J121</f>
        <v>2741.9</v>
      </c>
      <c r="K117" s="71">
        <f t="shared" si="31"/>
        <v>2741.9</v>
      </c>
      <c r="L117" s="71">
        <f>L118+L119+L121</f>
        <v>2921.3599999999997</v>
      </c>
      <c r="M117" s="71">
        <f t="shared" ref="M117:O117" si="32">M118+M119+M121</f>
        <v>3044.8</v>
      </c>
      <c r="N117" s="71">
        <f t="shared" si="32"/>
        <v>3106.1</v>
      </c>
      <c r="O117" s="71">
        <f t="shared" si="32"/>
        <v>3220.2</v>
      </c>
      <c r="P117" s="105"/>
      <c r="Q117" s="105"/>
      <c r="R117" s="105"/>
      <c r="S117" s="105"/>
      <c r="T117" s="105"/>
      <c r="U117" s="105"/>
      <c r="V117" s="105"/>
      <c r="W117" s="105"/>
    </row>
    <row r="118" spans="1:23" s="112" customFormat="1" ht="102" customHeight="1" x14ac:dyDescent="0.3">
      <c r="A118" s="372"/>
      <c r="B118" s="400"/>
      <c r="C118" s="138" t="s">
        <v>245</v>
      </c>
      <c r="D118" s="139"/>
      <c r="E118" s="139" t="s">
        <v>246</v>
      </c>
      <c r="F118" s="109" t="s">
        <v>72</v>
      </c>
      <c r="G118" s="109" t="s">
        <v>105</v>
      </c>
      <c r="H118" s="109" t="s">
        <v>247</v>
      </c>
      <c r="I118" s="109" t="s">
        <v>31</v>
      </c>
      <c r="J118" s="78">
        <v>253.1</v>
      </c>
      <c r="K118" s="78">
        <v>253.1</v>
      </c>
      <c r="L118" s="78">
        <v>263.2</v>
      </c>
      <c r="M118" s="78">
        <v>273.2</v>
      </c>
      <c r="N118" s="78">
        <v>286</v>
      </c>
      <c r="O118" s="78">
        <v>297.8</v>
      </c>
      <c r="P118" s="111"/>
      <c r="Q118" s="111"/>
      <c r="R118" s="111"/>
      <c r="S118" s="111"/>
      <c r="T118" s="111"/>
      <c r="U118" s="111"/>
      <c r="V118" s="111"/>
      <c r="W118" s="111"/>
    </row>
    <row r="119" spans="1:23" s="112" customFormat="1" ht="126.75" customHeight="1" x14ac:dyDescent="0.3">
      <c r="A119" s="372"/>
      <c r="B119" s="378" t="s">
        <v>248</v>
      </c>
      <c r="C119" s="93" t="s">
        <v>249</v>
      </c>
      <c r="D119" s="137" t="s">
        <v>250</v>
      </c>
      <c r="E119" s="93" t="s">
        <v>251</v>
      </c>
      <c r="F119" s="70" t="s">
        <v>72</v>
      </c>
      <c r="G119" s="70" t="s">
        <v>125</v>
      </c>
      <c r="H119" s="70" t="s">
        <v>252</v>
      </c>
      <c r="I119" s="109"/>
      <c r="J119" s="71">
        <f>J120</f>
        <v>311.39999999999998</v>
      </c>
      <c r="K119" s="71">
        <f t="shared" ref="K119:O119" si="33">K120</f>
        <v>311.39999999999998</v>
      </c>
      <c r="L119" s="71">
        <f t="shared" si="33"/>
        <v>311.45999999999998</v>
      </c>
      <c r="M119" s="71">
        <f t="shared" si="33"/>
        <v>324</v>
      </c>
      <c r="N119" s="71">
        <f t="shared" si="33"/>
        <v>324</v>
      </c>
      <c r="O119" s="71">
        <f t="shared" si="33"/>
        <v>324</v>
      </c>
      <c r="P119" s="140"/>
      <c r="Q119" s="140"/>
      <c r="R119" s="140"/>
      <c r="S119" s="140"/>
      <c r="T119" s="140"/>
      <c r="U119" s="140"/>
      <c r="V119" s="111"/>
      <c r="W119" s="111"/>
    </row>
    <row r="120" spans="1:23" s="112" customFormat="1" ht="109.5" customHeight="1" x14ac:dyDescent="0.3">
      <c r="A120" s="372"/>
      <c r="B120" s="373"/>
      <c r="C120" s="84" t="s">
        <v>171</v>
      </c>
      <c r="D120" s="137" t="s">
        <v>253</v>
      </c>
      <c r="E120" s="137" t="s">
        <v>151</v>
      </c>
      <c r="F120" s="109"/>
      <c r="G120" s="109"/>
      <c r="H120" s="109"/>
      <c r="I120" s="109" t="s">
        <v>31</v>
      </c>
      <c r="J120" s="78">
        <v>311.39999999999998</v>
      </c>
      <c r="K120" s="78">
        <v>311.39999999999998</v>
      </c>
      <c r="L120" s="78">
        <v>311.45999999999998</v>
      </c>
      <c r="M120" s="78">
        <v>324</v>
      </c>
      <c r="N120" s="78">
        <v>324</v>
      </c>
      <c r="O120" s="78">
        <v>324</v>
      </c>
      <c r="P120" s="141"/>
      <c r="Q120" s="111"/>
      <c r="R120" s="111"/>
      <c r="S120" s="111"/>
      <c r="T120" s="111"/>
      <c r="U120" s="111"/>
      <c r="V120" s="111"/>
      <c r="W120" s="111"/>
    </row>
    <row r="121" spans="1:23" s="112" customFormat="1" ht="105" customHeight="1" x14ac:dyDescent="0.3">
      <c r="A121" s="372"/>
      <c r="B121" s="373" t="s">
        <v>254</v>
      </c>
      <c r="C121" s="256" t="s">
        <v>255</v>
      </c>
      <c r="D121" s="137"/>
      <c r="E121" s="142" t="s">
        <v>256</v>
      </c>
      <c r="F121" s="70" t="s">
        <v>19</v>
      </c>
      <c r="G121" s="70" t="s">
        <v>134</v>
      </c>
      <c r="H121" s="70" t="s">
        <v>257</v>
      </c>
      <c r="I121" s="70"/>
      <c r="J121" s="71">
        <f>J122</f>
        <v>2177.4</v>
      </c>
      <c r="K121" s="71">
        <f t="shared" ref="K121:O121" si="34">K122</f>
        <v>2177.4</v>
      </c>
      <c r="L121" s="71">
        <f t="shared" si="34"/>
        <v>2346.6999999999998</v>
      </c>
      <c r="M121" s="71">
        <f t="shared" si="34"/>
        <v>2447.6</v>
      </c>
      <c r="N121" s="71">
        <f t="shared" si="34"/>
        <v>2496.1</v>
      </c>
      <c r="O121" s="71">
        <f t="shared" si="34"/>
        <v>2598.4</v>
      </c>
      <c r="P121" s="141"/>
      <c r="Q121" s="111"/>
      <c r="R121" s="111"/>
      <c r="S121" s="111"/>
      <c r="T121" s="111"/>
      <c r="U121" s="111"/>
      <c r="V121" s="111"/>
      <c r="W121" s="111"/>
    </row>
    <row r="122" spans="1:23" s="112" customFormat="1" ht="42.75" customHeight="1" x14ac:dyDescent="0.3">
      <c r="A122" s="380"/>
      <c r="B122" s="374"/>
      <c r="C122" s="84" t="s">
        <v>258</v>
      </c>
      <c r="D122" s="137"/>
      <c r="E122" s="82" t="s">
        <v>151</v>
      </c>
      <c r="F122" s="109"/>
      <c r="G122" s="109"/>
      <c r="H122" s="109"/>
      <c r="I122" s="109" t="s">
        <v>240</v>
      </c>
      <c r="J122" s="78">
        <v>2177.4</v>
      </c>
      <c r="K122" s="78">
        <v>2177.4</v>
      </c>
      <c r="L122" s="78">
        <v>2346.6999999999998</v>
      </c>
      <c r="M122" s="78">
        <v>2447.6</v>
      </c>
      <c r="N122" s="78">
        <v>2496.1</v>
      </c>
      <c r="O122" s="78">
        <v>2598.4</v>
      </c>
      <c r="P122" s="141"/>
      <c r="Q122" s="111"/>
      <c r="R122" s="111"/>
      <c r="S122" s="111"/>
      <c r="T122" s="111"/>
      <c r="U122" s="111"/>
      <c r="V122" s="111"/>
      <c r="W122" s="111"/>
    </row>
    <row r="123" spans="1:23" s="66" customFormat="1" ht="58.9" customHeight="1" x14ac:dyDescent="0.3">
      <c r="A123" s="369">
        <v>902</v>
      </c>
      <c r="B123" s="379" t="s">
        <v>259</v>
      </c>
      <c r="C123" s="115" t="s">
        <v>260</v>
      </c>
      <c r="D123" s="115" t="s">
        <v>261</v>
      </c>
      <c r="E123" s="115" t="s">
        <v>262</v>
      </c>
      <c r="F123" s="70" t="s">
        <v>60</v>
      </c>
      <c r="G123" s="70" t="s">
        <v>72</v>
      </c>
      <c r="H123" s="70" t="s">
        <v>263</v>
      </c>
      <c r="I123" s="70"/>
      <c r="J123" s="128">
        <f t="shared" ref="J123:O123" si="35">J124</f>
        <v>336.8</v>
      </c>
      <c r="K123" s="128">
        <f t="shared" si="35"/>
        <v>336.8</v>
      </c>
      <c r="L123" s="128">
        <f t="shared" si="35"/>
        <v>124.45</v>
      </c>
      <c r="M123" s="71">
        <f t="shared" si="35"/>
        <v>1054.9000000000001</v>
      </c>
      <c r="N123" s="71">
        <f t="shared" si="35"/>
        <v>630.29999999999995</v>
      </c>
      <c r="O123" s="71">
        <f t="shared" si="35"/>
        <v>656.2</v>
      </c>
      <c r="P123" s="65"/>
      <c r="Q123" s="65"/>
      <c r="R123" s="65"/>
      <c r="S123" s="65"/>
      <c r="T123" s="65"/>
      <c r="U123" s="65"/>
      <c r="V123" s="65"/>
      <c r="W123" s="65"/>
    </row>
    <row r="124" spans="1:23" s="112" customFormat="1" ht="105.75" customHeight="1" x14ac:dyDescent="0.3">
      <c r="A124" s="371"/>
      <c r="B124" s="413"/>
      <c r="C124" s="84" t="s">
        <v>171</v>
      </c>
      <c r="D124" s="156" t="s">
        <v>264</v>
      </c>
      <c r="E124" s="82" t="s">
        <v>151</v>
      </c>
      <c r="F124" s="109"/>
      <c r="G124" s="109"/>
      <c r="H124" s="109"/>
      <c r="I124" s="109" t="s">
        <v>31</v>
      </c>
      <c r="J124" s="92">
        <v>336.8</v>
      </c>
      <c r="K124" s="92">
        <v>336.8</v>
      </c>
      <c r="L124" s="92">
        <v>124.45</v>
      </c>
      <c r="M124" s="78">
        <v>1054.9000000000001</v>
      </c>
      <c r="N124" s="78">
        <v>630.29999999999995</v>
      </c>
      <c r="O124" s="78">
        <v>656.2</v>
      </c>
      <c r="P124" s="111"/>
      <c r="Q124" s="111"/>
      <c r="R124" s="111"/>
      <c r="S124" s="111"/>
      <c r="T124" s="111"/>
      <c r="U124" s="111"/>
      <c r="V124" s="111"/>
      <c r="W124" s="111"/>
    </row>
    <row r="125" spans="1:23" s="106" customFormat="1" ht="66" customHeight="1" x14ac:dyDescent="0.3">
      <c r="A125" s="130">
        <v>902</v>
      </c>
      <c r="B125" s="378" t="s">
        <v>204</v>
      </c>
      <c r="C125" s="225" t="s">
        <v>265</v>
      </c>
      <c r="D125" s="142" t="s">
        <v>266</v>
      </c>
      <c r="E125" s="142" t="s">
        <v>191</v>
      </c>
      <c r="F125" s="70" t="s">
        <v>19</v>
      </c>
      <c r="G125" s="70" t="s">
        <v>134</v>
      </c>
      <c r="H125" s="70"/>
      <c r="I125" s="70"/>
      <c r="J125" s="71">
        <f>J126</f>
        <v>1622.9</v>
      </c>
      <c r="K125" s="71">
        <f t="shared" ref="K125:O125" si="36">K126</f>
        <v>1622.9</v>
      </c>
      <c r="L125" s="71">
        <f t="shared" si="36"/>
        <v>126.62</v>
      </c>
      <c r="M125" s="71">
        <f t="shared" si="36"/>
        <v>327.8</v>
      </c>
      <c r="N125" s="71">
        <f t="shared" si="36"/>
        <v>341.6</v>
      </c>
      <c r="O125" s="71">
        <f t="shared" si="36"/>
        <v>355.6</v>
      </c>
      <c r="P125" s="105"/>
      <c r="Q125" s="105"/>
      <c r="R125" s="105"/>
      <c r="S125" s="105"/>
      <c r="T125" s="105"/>
      <c r="U125" s="105"/>
      <c r="V125" s="105"/>
      <c r="W125" s="105"/>
    </row>
    <row r="126" spans="1:23" s="74" customFormat="1" ht="93.75" customHeight="1" x14ac:dyDescent="0.3">
      <c r="A126" s="179"/>
      <c r="B126" s="374"/>
      <c r="C126" s="143" t="s">
        <v>267</v>
      </c>
      <c r="D126" s="82" t="s">
        <v>268</v>
      </c>
      <c r="E126" s="82" t="s">
        <v>269</v>
      </c>
      <c r="F126" s="109" t="s">
        <v>19</v>
      </c>
      <c r="G126" s="109" t="s">
        <v>134</v>
      </c>
      <c r="H126" s="109" t="s">
        <v>270</v>
      </c>
      <c r="I126" s="109" t="s">
        <v>31</v>
      </c>
      <c r="J126" s="78">
        <v>1622.9</v>
      </c>
      <c r="K126" s="78">
        <v>1622.9</v>
      </c>
      <c r="L126" s="78">
        <v>126.62</v>
      </c>
      <c r="M126" s="78">
        <v>327.8</v>
      </c>
      <c r="N126" s="78">
        <v>341.6</v>
      </c>
      <c r="O126" s="78">
        <v>355.6</v>
      </c>
      <c r="P126" s="73"/>
      <c r="Q126" s="73"/>
      <c r="R126" s="73"/>
      <c r="S126" s="73"/>
      <c r="T126" s="73"/>
      <c r="U126" s="73"/>
      <c r="V126" s="73"/>
      <c r="W126" s="73"/>
    </row>
    <row r="127" spans="1:23" s="106" customFormat="1" ht="66.599999999999994" customHeight="1" x14ac:dyDescent="0.3">
      <c r="A127" s="379">
        <v>902</v>
      </c>
      <c r="B127" s="378" t="s">
        <v>271</v>
      </c>
      <c r="C127" s="257" t="s">
        <v>272</v>
      </c>
      <c r="D127" s="142" t="s">
        <v>273</v>
      </c>
      <c r="E127" s="142" t="s">
        <v>274</v>
      </c>
      <c r="F127" s="69"/>
      <c r="G127" s="69"/>
      <c r="H127" s="69"/>
      <c r="I127" s="69"/>
      <c r="J127" s="71">
        <f>J128+J139+J147+J154+J160+J169</f>
        <v>124074.09999999998</v>
      </c>
      <c r="K127" s="71">
        <f>K128+K139+K147+K154+K160+K169</f>
        <v>123873.25</v>
      </c>
      <c r="L127" s="71">
        <f>L128+L139+L147+L154+L160+L169</f>
        <v>139303.06000000003</v>
      </c>
      <c r="M127" s="71">
        <f t="shared" ref="M127:O127" si="37">M128+M139+M147+M154+M160+M169</f>
        <v>155767.50999999998</v>
      </c>
      <c r="N127" s="71">
        <f t="shared" si="37"/>
        <v>156840.75999999998</v>
      </c>
      <c r="O127" s="71">
        <f t="shared" si="37"/>
        <v>163074.66</v>
      </c>
      <c r="P127" s="105"/>
      <c r="Q127" s="105"/>
      <c r="R127" s="105"/>
      <c r="S127" s="105"/>
      <c r="T127" s="105"/>
      <c r="U127" s="105"/>
      <c r="V127" s="105"/>
      <c r="W127" s="105"/>
    </row>
    <row r="128" spans="1:23" s="112" customFormat="1" ht="117" customHeight="1" x14ac:dyDescent="0.3">
      <c r="A128" s="372"/>
      <c r="B128" s="373"/>
      <c r="C128" s="115" t="s">
        <v>275</v>
      </c>
      <c r="D128" s="142" t="s">
        <v>99</v>
      </c>
      <c r="E128" s="142" t="s">
        <v>276</v>
      </c>
      <c r="F128" s="258" t="s">
        <v>19</v>
      </c>
      <c r="G128" s="258" t="s">
        <v>134</v>
      </c>
      <c r="H128" s="258" t="s">
        <v>277</v>
      </c>
      <c r="I128" s="258"/>
      <c r="J128" s="116">
        <f>J129+J130+J131+J132+J133+J134+J137+J138+J135+J136</f>
        <v>52467.579999999994</v>
      </c>
      <c r="K128" s="116">
        <f t="shared" ref="K128:O128" si="38">K129+K130+K131+K132+K133+K134+K137+K138+K135+K136</f>
        <v>52400.889999999992</v>
      </c>
      <c r="L128" s="116">
        <f t="shared" si="38"/>
        <v>63318.12</v>
      </c>
      <c r="M128" s="116">
        <f t="shared" si="38"/>
        <v>59580.740000000013</v>
      </c>
      <c r="N128" s="116">
        <f t="shared" si="38"/>
        <v>62300.2</v>
      </c>
      <c r="O128" s="116">
        <f t="shared" si="38"/>
        <v>68284.700000000012</v>
      </c>
      <c r="P128" s="141"/>
      <c r="Q128" s="111"/>
      <c r="R128" s="111"/>
      <c r="S128" s="111"/>
      <c r="T128" s="111"/>
      <c r="U128" s="111"/>
      <c r="V128" s="111"/>
      <c r="W128" s="111"/>
    </row>
    <row r="129" spans="1:23" s="112" customFormat="1" ht="115.5" customHeight="1" x14ac:dyDescent="0.3">
      <c r="A129" s="372"/>
      <c r="B129" s="373"/>
      <c r="C129" s="159" t="s">
        <v>278</v>
      </c>
      <c r="D129" s="82"/>
      <c r="E129" s="82" t="s">
        <v>279</v>
      </c>
      <c r="F129" s="77"/>
      <c r="G129" s="77"/>
      <c r="H129" s="77"/>
      <c r="I129" s="77" t="s">
        <v>280</v>
      </c>
      <c r="J129" s="78">
        <v>28517.759999999998</v>
      </c>
      <c r="K129" s="78">
        <v>28516.39</v>
      </c>
      <c r="L129" s="78">
        <v>33827.360000000001</v>
      </c>
      <c r="M129" s="78">
        <v>35806.1</v>
      </c>
      <c r="N129" s="78">
        <v>36190.400000000001</v>
      </c>
      <c r="O129" s="78">
        <v>36190.400000000001</v>
      </c>
      <c r="P129" s="144"/>
      <c r="Q129" s="111"/>
      <c r="R129" s="111"/>
      <c r="S129" s="111"/>
      <c r="T129" s="111"/>
      <c r="U129" s="111"/>
      <c r="V129" s="111"/>
      <c r="W129" s="111"/>
    </row>
    <row r="130" spans="1:23" s="112" customFormat="1" ht="85.5" customHeight="1" x14ac:dyDescent="0.3">
      <c r="A130" s="372"/>
      <c r="B130" s="373"/>
      <c r="C130" s="80" t="s">
        <v>118</v>
      </c>
      <c r="D130" s="81" t="s">
        <v>65</v>
      </c>
      <c r="E130" s="82" t="s">
        <v>107</v>
      </c>
      <c r="F130" s="77"/>
      <c r="G130" s="77"/>
      <c r="H130" s="77"/>
      <c r="I130" s="77" t="s">
        <v>281</v>
      </c>
      <c r="J130" s="78">
        <v>27</v>
      </c>
      <c r="K130" s="78">
        <v>27</v>
      </c>
      <c r="L130" s="78">
        <v>50.18</v>
      </c>
      <c r="M130" s="78">
        <v>22.55</v>
      </c>
      <c r="N130" s="78">
        <v>23.5</v>
      </c>
      <c r="O130" s="78">
        <v>24.4</v>
      </c>
      <c r="P130" s="111"/>
      <c r="Q130" s="111"/>
      <c r="R130" s="111"/>
      <c r="S130" s="111"/>
      <c r="T130" s="111"/>
      <c r="U130" s="111"/>
      <c r="V130" s="111"/>
      <c r="W130" s="111"/>
    </row>
    <row r="131" spans="1:23" s="112" customFormat="1" ht="133.9" customHeight="1" x14ac:dyDescent="0.3">
      <c r="A131" s="372"/>
      <c r="B131" s="373"/>
      <c r="C131" s="145" t="s">
        <v>282</v>
      </c>
      <c r="D131" s="146"/>
      <c r="E131" s="147" t="s">
        <v>283</v>
      </c>
      <c r="F131" s="77"/>
      <c r="G131" s="77"/>
      <c r="H131" s="77"/>
      <c r="I131" s="77" t="s">
        <v>284</v>
      </c>
      <c r="J131" s="78">
        <v>7844.59</v>
      </c>
      <c r="K131" s="78">
        <v>7844.59</v>
      </c>
      <c r="L131" s="78">
        <v>10333.219999999999</v>
      </c>
      <c r="M131" s="78">
        <v>10363.969999999999</v>
      </c>
      <c r="N131" s="78">
        <v>10929.5</v>
      </c>
      <c r="O131" s="78">
        <v>10929.5</v>
      </c>
      <c r="P131" s="111"/>
      <c r="Q131" s="111"/>
      <c r="R131" s="111"/>
      <c r="S131" s="111"/>
      <c r="T131" s="111"/>
      <c r="U131" s="111"/>
      <c r="V131" s="111"/>
      <c r="W131" s="111"/>
    </row>
    <row r="132" spans="1:23" s="112" customFormat="1" ht="137.25" customHeight="1" x14ac:dyDescent="0.3">
      <c r="A132" s="372"/>
      <c r="B132" s="373"/>
      <c r="C132" s="84" t="s">
        <v>285</v>
      </c>
      <c r="D132" s="82" t="s">
        <v>286</v>
      </c>
      <c r="E132" s="82" t="s">
        <v>161</v>
      </c>
      <c r="F132" s="77"/>
      <c r="G132" s="77"/>
      <c r="H132" s="77"/>
      <c r="I132" s="77" t="s">
        <v>31</v>
      </c>
      <c r="J132" s="78">
        <v>13821.12</v>
      </c>
      <c r="K132" s="78">
        <v>13755.8</v>
      </c>
      <c r="L132" s="78">
        <v>14065.23</v>
      </c>
      <c r="M132" s="78">
        <v>9023.9500000000007</v>
      </c>
      <c r="N132" s="78">
        <v>10527.3</v>
      </c>
      <c r="O132" s="78">
        <v>16155.8</v>
      </c>
      <c r="P132" s="111"/>
      <c r="Q132" s="111"/>
      <c r="R132" s="111"/>
      <c r="S132" s="111"/>
      <c r="T132" s="111"/>
      <c r="U132" s="111"/>
      <c r="V132" s="111"/>
      <c r="W132" s="111"/>
    </row>
    <row r="133" spans="1:23" s="112" customFormat="1" ht="42" hidden="1" customHeight="1" x14ac:dyDescent="0.3">
      <c r="A133" s="372"/>
      <c r="B133" s="373"/>
      <c r="C133" s="98" t="s">
        <v>287</v>
      </c>
      <c r="D133" s="82"/>
      <c r="E133" s="82"/>
      <c r="F133" s="77"/>
      <c r="G133" s="77"/>
      <c r="H133" s="77"/>
      <c r="I133" s="77" t="s">
        <v>90</v>
      </c>
      <c r="J133" s="78"/>
      <c r="K133" s="78"/>
      <c r="L133" s="78"/>
      <c r="M133" s="78"/>
      <c r="N133" s="78"/>
      <c r="O133" s="78"/>
      <c r="P133" s="111"/>
      <c r="Q133" s="111"/>
      <c r="R133" s="111"/>
      <c r="S133" s="111"/>
      <c r="T133" s="111"/>
      <c r="U133" s="111"/>
      <c r="V133" s="111"/>
      <c r="W133" s="111"/>
    </row>
    <row r="134" spans="1:23" s="112" customFormat="1" ht="27" hidden="1" customHeight="1" x14ac:dyDescent="0.3">
      <c r="A134" s="372"/>
      <c r="B134" s="373"/>
      <c r="C134" s="98" t="s">
        <v>288</v>
      </c>
      <c r="D134" s="80" t="s">
        <v>32</v>
      </c>
      <c r="E134" s="99" t="s">
        <v>289</v>
      </c>
      <c r="F134" s="77"/>
      <c r="G134" s="77"/>
      <c r="H134" s="77"/>
      <c r="I134" s="77" t="s">
        <v>33</v>
      </c>
      <c r="J134" s="78"/>
      <c r="K134" s="78"/>
      <c r="L134" s="78"/>
      <c r="M134" s="78"/>
      <c r="N134" s="78"/>
      <c r="O134" s="78"/>
      <c r="P134" s="111"/>
      <c r="Q134" s="111"/>
      <c r="R134" s="111"/>
      <c r="S134" s="111"/>
      <c r="T134" s="111"/>
      <c r="U134" s="111"/>
      <c r="V134" s="111"/>
      <c r="W134" s="111"/>
    </row>
    <row r="135" spans="1:23" s="112" customFormat="1" ht="106.5" customHeight="1" x14ac:dyDescent="0.3">
      <c r="A135" s="372"/>
      <c r="B135" s="373"/>
      <c r="C135" s="80" t="s">
        <v>290</v>
      </c>
      <c r="D135" s="80" t="s">
        <v>291</v>
      </c>
      <c r="E135" s="82" t="s">
        <v>161</v>
      </c>
      <c r="F135" s="77"/>
      <c r="G135" s="77"/>
      <c r="H135" s="77"/>
      <c r="I135" s="77" t="s">
        <v>87</v>
      </c>
      <c r="J135" s="78">
        <v>1776.02</v>
      </c>
      <c r="K135" s="78">
        <v>1776.02</v>
      </c>
      <c r="L135" s="78">
        <v>4401.75</v>
      </c>
      <c r="M135" s="78">
        <v>3764.15</v>
      </c>
      <c r="N135" s="78">
        <v>4029.5</v>
      </c>
      <c r="O135" s="78">
        <v>4384.6000000000004</v>
      </c>
      <c r="P135" s="111"/>
      <c r="Q135" s="111"/>
      <c r="R135" s="111"/>
      <c r="S135" s="111"/>
      <c r="T135" s="111"/>
      <c r="U135" s="111"/>
      <c r="V135" s="111"/>
      <c r="W135" s="111"/>
    </row>
    <row r="136" spans="1:23" s="112" customFormat="1" ht="33" customHeight="1" x14ac:dyDescent="0.3">
      <c r="A136" s="372"/>
      <c r="B136" s="373"/>
      <c r="C136" s="82" t="s">
        <v>288</v>
      </c>
      <c r="D136" s="80" t="s">
        <v>34</v>
      </c>
      <c r="E136" s="82" t="s">
        <v>289</v>
      </c>
      <c r="F136" s="77"/>
      <c r="G136" s="77"/>
      <c r="H136" s="77"/>
      <c r="I136" s="77" t="s">
        <v>33</v>
      </c>
      <c r="J136" s="78">
        <v>385.72</v>
      </c>
      <c r="K136" s="78">
        <v>385.72</v>
      </c>
      <c r="L136" s="78">
        <v>496.7</v>
      </c>
      <c r="M136" s="78">
        <v>427.72</v>
      </c>
      <c r="N136" s="78">
        <v>427.7</v>
      </c>
      <c r="O136" s="78">
        <v>427.7</v>
      </c>
      <c r="P136" s="111"/>
      <c r="Q136" s="111"/>
      <c r="R136" s="111"/>
      <c r="S136" s="111"/>
      <c r="T136" s="111"/>
      <c r="U136" s="111"/>
      <c r="V136" s="111"/>
      <c r="W136" s="111"/>
    </row>
    <row r="137" spans="1:23" s="112" customFormat="1" ht="29.45" customHeight="1" x14ac:dyDescent="0.3">
      <c r="A137" s="372"/>
      <c r="B137" s="373"/>
      <c r="C137" s="98" t="s">
        <v>288</v>
      </c>
      <c r="D137" s="80" t="s">
        <v>34</v>
      </c>
      <c r="E137" s="82" t="s">
        <v>289</v>
      </c>
      <c r="F137" s="77"/>
      <c r="G137" s="77"/>
      <c r="H137" s="77"/>
      <c r="I137" s="77" t="s">
        <v>35</v>
      </c>
      <c r="J137" s="78">
        <v>93.03</v>
      </c>
      <c r="K137" s="78">
        <v>93.03</v>
      </c>
      <c r="L137" s="78">
        <v>104.35</v>
      </c>
      <c r="M137" s="78">
        <v>112.3</v>
      </c>
      <c r="N137" s="78">
        <v>112.3</v>
      </c>
      <c r="O137" s="78">
        <v>112.3</v>
      </c>
      <c r="P137" s="111"/>
      <c r="Q137" s="111"/>
      <c r="R137" s="111"/>
      <c r="S137" s="111"/>
      <c r="T137" s="111"/>
      <c r="U137" s="111"/>
      <c r="V137" s="111"/>
      <c r="W137" s="111"/>
    </row>
    <row r="138" spans="1:23" s="112" customFormat="1" ht="69" customHeight="1" x14ac:dyDescent="0.3">
      <c r="A138" s="372"/>
      <c r="B138" s="373"/>
      <c r="C138" s="84" t="s">
        <v>36</v>
      </c>
      <c r="D138" s="82" t="s">
        <v>37</v>
      </c>
      <c r="E138" s="82" t="s">
        <v>292</v>
      </c>
      <c r="F138" s="77"/>
      <c r="G138" s="77"/>
      <c r="H138" s="77"/>
      <c r="I138" s="77" t="s">
        <v>39</v>
      </c>
      <c r="J138" s="78">
        <v>2.34</v>
      </c>
      <c r="K138" s="78">
        <v>2.34</v>
      </c>
      <c r="L138" s="78">
        <v>39.33</v>
      </c>
      <c r="M138" s="78">
        <v>60</v>
      </c>
      <c r="N138" s="78">
        <v>60</v>
      </c>
      <c r="O138" s="78">
        <v>60</v>
      </c>
      <c r="P138" s="111"/>
      <c r="Q138" s="111"/>
      <c r="R138" s="111"/>
      <c r="S138" s="111"/>
      <c r="T138" s="111"/>
      <c r="U138" s="111"/>
      <c r="V138" s="111"/>
      <c r="W138" s="111"/>
    </row>
    <row r="139" spans="1:23" s="112" customFormat="1" ht="67.900000000000006" customHeight="1" x14ac:dyDescent="0.3">
      <c r="A139" s="372"/>
      <c r="B139" s="373"/>
      <c r="C139" s="251" t="s">
        <v>293</v>
      </c>
      <c r="D139" s="82"/>
      <c r="E139" s="142" t="s">
        <v>294</v>
      </c>
      <c r="F139" s="258" t="s">
        <v>19</v>
      </c>
      <c r="G139" s="258" t="s">
        <v>134</v>
      </c>
      <c r="H139" s="258" t="s">
        <v>295</v>
      </c>
      <c r="I139" s="258"/>
      <c r="J139" s="116">
        <f>J140+J141+J142+J143+J144+J145+J146</f>
        <v>5507.58</v>
      </c>
      <c r="K139" s="116">
        <f>K140+K141+K142+K143+K144+K145+K146</f>
        <v>5507.58</v>
      </c>
      <c r="L139" s="116">
        <f>L140+L141+L142+L143+L144+L145+L146</f>
        <v>5753.71</v>
      </c>
      <c r="M139" s="116">
        <f>M140+M141+M142+M143+M144+M145+M146</f>
        <v>8301.7199999999993</v>
      </c>
      <c r="N139" s="116">
        <f t="shared" ref="N139:O139" si="39">N140+N141+N142+N143+N144+N145+N146</f>
        <v>7164.7300000000005</v>
      </c>
      <c r="O139" s="116">
        <f t="shared" si="39"/>
        <v>7188.63</v>
      </c>
      <c r="P139" s="111"/>
      <c r="Q139" s="111"/>
      <c r="R139" s="111"/>
      <c r="S139" s="111"/>
      <c r="T139" s="111"/>
      <c r="U139" s="111"/>
      <c r="V139" s="111"/>
      <c r="W139" s="111"/>
    </row>
    <row r="140" spans="1:23" s="112" customFormat="1" ht="95.25" customHeight="1" x14ac:dyDescent="0.3">
      <c r="A140" s="372"/>
      <c r="B140" s="373"/>
      <c r="C140" s="159" t="s">
        <v>296</v>
      </c>
      <c r="D140" s="82"/>
      <c r="E140" s="82" t="s">
        <v>297</v>
      </c>
      <c r="F140" s="77"/>
      <c r="G140" s="77"/>
      <c r="H140" s="77"/>
      <c r="I140" s="77" t="s">
        <v>280</v>
      </c>
      <c r="J140" s="78">
        <v>3646.43</v>
      </c>
      <c r="K140" s="78">
        <v>3646.43</v>
      </c>
      <c r="L140" s="78">
        <v>3812.46</v>
      </c>
      <c r="M140" s="78">
        <v>4781.3599999999997</v>
      </c>
      <c r="N140" s="78">
        <v>5042.26</v>
      </c>
      <c r="O140" s="78">
        <v>5042.26</v>
      </c>
      <c r="P140" s="111"/>
      <c r="Q140" s="111"/>
      <c r="R140" s="111"/>
      <c r="S140" s="111"/>
      <c r="T140" s="111"/>
      <c r="U140" s="111"/>
      <c r="V140" s="111"/>
      <c r="W140" s="111"/>
    </row>
    <row r="141" spans="1:23" s="112" customFormat="1" ht="102" customHeight="1" x14ac:dyDescent="0.3">
      <c r="A141" s="372"/>
      <c r="B141" s="373"/>
      <c r="C141" s="80" t="s">
        <v>118</v>
      </c>
      <c r="D141" s="81" t="s">
        <v>65</v>
      </c>
      <c r="E141" s="82" t="s">
        <v>107</v>
      </c>
      <c r="F141" s="77"/>
      <c r="G141" s="77"/>
      <c r="H141" s="77"/>
      <c r="I141" s="77" t="s">
        <v>281</v>
      </c>
      <c r="J141" s="78">
        <v>0</v>
      </c>
      <c r="K141" s="78">
        <v>0</v>
      </c>
      <c r="L141" s="78">
        <v>0</v>
      </c>
      <c r="M141" s="78">
        <v>26.86</v>
      </c>
      <c r="N141" s="78">
        <v>27.97</v>
      </c>
      <c r="O141" s="78">
        <v>29.17</v>
      </c>
      <c r="P141" s="111"/>
      <c r="Q141" s="111"/>
      <c r="R141" s="111"/>
      <c r="S141" s="111"/>
      <c r="T141" s="111"/>
      <c r="U141" s="111"/>
      <c r="V141" s="111"/>
      <c r="W141" s="111"/>
    </row>
    <row r="142" spans="1:23" s="112" customFormat="1" ht="137.25" customHeight="1" x14ac:dyDescent="0.3">
      <c r="A142" s="372"/>
      <c r="B142" s="373"/>
      <c r="C142" s="80" t="s">
        <v>298</v>
      </c>
      <c r="D142" s="86"/>
      <c r="E142" s="82" t="s">
        <v>299</v>
      </c>
      <c r="F142" s="77"/>
      <c r="G142" s="77"/>
      <c r="H142" s="77"/>
      <c r="I142" s="77" t="s">
        <v>284</v>
      </c>
      <c r="J142" s="78">
        <v>1004.21</v>
      </c>
      <c r="K142" s="78">
        <v>1004.21</v>
      </c>
      <c r="L142" s="78">
        <v>1173.1300000000001</v>
      </c>
      <c r="M142" s="78">
        <v>1444</v>
      </c>
      <c r="N142" s="78">
        <v>1522.8</v>
      </c>
      <c r="O142" s="78">
        <v>1522.8</v>
      </c>
      <c r="P142" s="111"/>
      <c r="Q142" s="111"/>
      <c r="R142" s="111"/>
      <c r="S142" s="111"/>
      <c r="T142" s="111"/>
      <c r="U142" s="111"/>
      <c r="V142" s="111"/>
      <c r="W142" s="111"/>
    </row>
    <row r="143" spans="1:23" s="112" customFormat="1" ht="134.25" customHeight="1" x14ac:dyDescent="0.3">
      <c r="A143" s="372"/>
      <c r="B143" s="373"/>
      <c r="C143" s="84" t="s">
        <v>300</v>
      </c>
      <c r="D143" s="259" t="s">
        <v>301</v>
      </c>
      <c r="E143" s="82" t="s">
        <v>302</v>
      </c>
      <c r="F143" s="77"/>
      <c r="G143" s="77"/>
      <c r="H143" s="77"/>
      <c r="I143" s="77" t="s">
        <v>31</v>
      </c>
      <c r="J143" s="78">
        <v>829.94</v>
      </c>
      <c r="K143" s="78">
        <v>829.94</v>
      </c>
      <c r="L143" s="78">
        <v>737</v>
      </c>
      <c r="M143" s="78">
        <v>1960</v>
      </c>
      <c r="N143" s="78">
        <v>482.2</v>
      </c>
      <c r="O143" s="78">
        <v>504.9</v>
      </c>
      <c r="P143" s="111"/>
      <c r="Q143" s="111"/>
      <c r="R143" s="111"/>
      <c r="S143" s="111"/>
      <c r="T143" s="111"/>
      <c r="U143" s="111"/>
      <c r="V143" s="111"/>
      <c r="W143" s="111"/>
    </row>
    <row r="144" spans="1:23" s="112" customFormat="1" ht="25.5" x14ac:dyDescent="0.3">
      <c r="A144" s="372"/>
      <c r="B144" s="373"/>
      <c r="C144" s="98" t="s">
        <v>288</v>
      </c>
      <c r="D144" s="80" t="s">
        <v>32</v>
      </c>
      <c r="E144" s="82" t="s">
        <v>289</v>
      </c>
      <c r="F144" s="77"/>
      <c r="G144" s="77"/>
      <c r="H144" s="77"/>
      <c r="I144" s="77" t="s">
        <v>33</v>
      </c>
      <c r="J144" s="78">
        <v>0</v>
      </c>
      <c r="K144" s="78">
        <v>0</v>
      </c>
      <c r="L144" s="78">
        <v>0</v>
      </c>
      <c r="M144" s="78">
        <v>0</v>
      </c>
      <c r="N144" s="78">
        <v>0</v>
      </c>
      <c r="O144" s="78">
        <v>0</v>
      </c>
      <c r="P144" s="111"/>
      <c r="Q144" s="111"/>
      <c r="R144" s="111"/>
      <c r="S144" s="111"/>
      <c r="T144" s="111"/>
      <c r="U144" s="111"/>
      <c r="V144" s="111"/>
      <c r="W144" s="111"/>
    </row>
    <row r="145" spans="1:23" s="112" customFormat="1" ht="38.25" x14ac:dyDescent="0.3">
      <c r="A145" s="372"/>
      <c r="B145" s="373"/>
      <c r="C145" s="98" t="s">
        <v>303</v>
      </c>
      <c r="D145" s="80" t="s">
        <v>34</v>
      </c>
      <c r="E145" s="148" t="s">
        <v>43</v>
      </c>
      <c r="F145" s="77"/>
      <c r="G145" s="77"/>
      <c r="H145" s="77"/>
      <c r="I145" s="77" t="s">
        <v>35</v>
      </c>
      <c r="J145" s="78">
        <v>9</v>
      </c>
      <c r="K145" s="78">
        <v>9</v>
      </c>
      <c r="L145" s="78">
        <v>6</v>
      </c>
      <c r="M145" s="78">
        <v>58.5</v>
      </c>
      <c r="N145" s="78">
        <v>58.5</v>
      </c>
      <c r="O145" s="78">
        <v>58.5</v>
      </c>
      <c r="P145" s="111"/>
      <c r="Q145" s="111"/>
      <c r="R145" s="111"/>
      <c r="S145" s="111"/>
      <c r="T145" s="111"/>
      <c r="U145" s="111"/>
      <c r="V145" s="111"/>
      <c r="W145" s="111"/>
    </row>
    <row r="146" spans="1:23" s="112" customFormat="1" ht="89.25" x14ac:dyDescent="0.3">
      <c r="A146" s="372"/>
      <c r="B146" s="373"/>
      <c r="C146" s="81" t="s">
        <v>36</v>
      </c>
      <c r="D146" s="80" t="s">
        <v>37</v>
      </c>
      <c r="E146" s="82" t="s">
        <v>304</v>
      </c>
      <c r="F146" s="77"/>
      <c r="G146" s="77"/>
      <c r="H146" s="77"/>
      <c r="I146" s="77" t="s">
        <v>39</v>
      </c>
      <c r="J146" s="78">
        <v>18</v>
      </c>
      <c r="K146" s="78">
        <v>18</v>
      </c>
      <c r="L146" s="78">
        <v>25.12</v>
      </c>
      <c r="M146" s="78">
        <v>31</v>
      </c>
      <c r="N146" s="78">
        <v>31</v>
      </c>
      <c r="O146" s="78">
        <v>31</v>
      </c>
      <c r="P146" s="111"/>
      <c r="Q146" s="111"/>
      <c r="R146" s="111"/>
      <c r="S146" s="111"/>
      <c r="T146" s="111"/>
      <c r="U146" s="111"/>
      <c r="V146" s="111"/>
      <c r="W146" s="111"/>
    </row>
    <row r="147" spans="1:23" s="112" customFormat="1" ht="79.5" customHeight="1" x14ac:dyDescent="0.3">
      <c r="A147" s="372"/>
      <c r="B147" s="373"/>
      <c r="C147" s="251" t="s">
        <v>305</v>
      </c>
      <c r="D147" s="80"/>
      <c r="E147" s="142" t="s">
        <v>306</v>
      </c>
      <c r="F147" s="258" t="s">
        <v>19</v>
      </c>
      <c r="G147" s="258" t="s">
        <v>134</v>
      </c>
      <c r="H147" s="258" t="s">
        <v>307</v>
      </c>
      <c r="I147" s="258"/>
      <c r="J147" s="116">
        <f t="shared" ref="J147:N147" si="40">J148+J149+J150+J151+J152+J153</f>
        <v>3346.99</v>
      </c>
      <c r="K147" s="116">
        <f t="shared" si="40"/>
        <v>3346.99</v>
      </c>
      <c r="L147" s="116">
        <f t="shared" si="40"/>
        <v>3759.99</v>
      </c>
      <c r="M147" s="116">
        <f t="shared" si="40"/>
        <v>3725.71</v>
      </c>
      <c r="N147" s="116">
        <f t="shared" si="40"/>
        <v>3926.16</v>
      </c>
      <c r="O147" s="116">
        <f>O148+O149+O150+O151+O152+O153</f>
        <v>3935.6600000000003</v>
      </c>
      <c r="P147" s="129"/>
      <c r="Q147" s="111"/>
      <c r="R147" s="111"/>
      <c r="S147" s="111"/>
      <c r="T147" s="111"/>
      <c r="U147" s="111"/>
      <c r="V147" s="111"/>
      <c r="W147" s="111"/>
    </row>
    <row r="148" spans="1:23" s="112" customFormat="1" ht="136.5" customHeight="1" x14ac:dyDescent="0.3">
      <c r="A148" s="372"/>
      <c r="B148" s="373"/>
      <c r="C148" s="159" t="s">
        <v>308</v>
      </c>
      <c r="D148" s="80"/>
      <c r="E148" s="82" t="s">
        <v>309</v>
      </c>
      <c r="F148" s="77"/>
      <c r="G148" s="77"/>
      <c r="H148" s="77"/>
      <c r="I148" s="77" t="s">
        <v>280</v>
      </c>
      <c r="J148" s="78">
        <v>2441.19</v>
      </c>
      <c r="K148" s="78">
        <v>2441.19</v>
      </c>
      <c r="L148" s="78">
        <v>2709.2</v>
      </c>
      <c r="M148" s="78">
        <v>2687.8</v>
      </c>
      <c r="N148" s="78">
        <v>2834.56</v>
      </c>
      <c r="O148" s="78">
        <v>2834.56</v>
      </c>
      <c r="P148" s="111"/>
      <c r="Q148" s="111"/>
      <c r="R148" s="111"/>
      <c r="S148" s="111"/>
      <c r="T148" s="111"/>
      <c r="U148" s="111"/>
      <c r="V148" s="111"/>
      <c r="W148" s="111"/>
    </row>
    <row r="149" spans="1:23" s="112" customFormat="1" ht="178.5" x14ac:dyDescent="0.3">
      <c r="A149" s="372"/>
      <c r="B149" s="373"/>
      <c r="C149" s="98" t="s">
        <v>310</v>
      </c>
      <c r="D149" s="80"/>
      <c r="E149" s="82" t="s">
        <v>311</v>
      </c>
      <c r="F149" s="77"/>
      <c r="G149" s="77"/>
      <c r="H149" s="77"/>
      <c r="I149" s="77" t="s">
        <v>284</v>
      </c>
      <c r="J149" s="78">
        <v>669.79</v>
      </c>
      <c r="K149" s="78">
        <v>669.79</v>
      </c>
      <c r="L149" s="78">
        <v>848.1</v>
      </c>
      <c r="M149" s="78">
        <v>811.71</v>
      </c>
      <c r="N149" s="78">
        <v>856</v>
      </c>
      <c r="O149" s="78">
        <v>856</v>
      </c>
      <c r="P149" s="111"/>
      <c r="Q149" s="111"/>
      <c r="R149" s="111"/>
      <c r="S149" s="111"/>
      <c r="T149" s="111"/>
      <c r="U149" s="111"/>
      <c r="V149" s="111"/>
      <c r="W149" s="111"/>
    </row>
    <row r="150" spans="1:23" s="112" customFormat="1" ht="111" customHeight="1" x14ac:dyDescent="0.3">
      <c r="A150" s="372"/>
      <c r="B150" s="373"/>
      <c r="C150" s="80" t="s">
        <v>118</v>
      </c>
      <c r="D150" s="81" t="s">
        <v>65</v>
      </c>
      <c r="E150" s="82" t="s">
        <v>107</v>
      </c>
      <c r="F150" s="77"/>
      <c r="G150" s="77"/>
      <c r="H150" s="77"/>
      <c r="I150" s="77" t="s">
        <v>281</v>
      </c>
      <c r="J150" s="78">
        <v>0</v>
      </c>
      <c r="K150" s="78">
        <v>0</v>
      </c>
      <c r="L150" s="78">
        <v>0</v>
      </c>
      <c r="M150" s="78">
        <v>14.6</v>
      </c>
      <c r="N150" s="78">
        <v>15.2</v>
      </c>
      <c r="O150" s="78">
        <v>15.8</v>
      </c>
      <c r="P150" s="111"/>
      <c r="Q150" s="111"/>
      <c r="R150" s="111"/>
      <c r="S150" s="111"/>
      <c r="T150" s="111"/>
      <c r="U150" s="111"/>
      <c r="V150" s="111"/>
      <c r="W150" s="111"/>
    </row>
    <row r="151" spans="1:23" s="112" customFormat="1" ht="96" customHeight="1" x14ac:dyDescent="0.3">
      <c r="A151" s="372"/>
      <c r="B151" s="373"/>
      <c r="C151" s="80" t="s">
        <v>300</v>
      </c>
      <c r="D151" s="28" t="s">
        <v>312</v>
      </c>
      <c r="E151" s="82" t="s">
        <v>302</v>
      </c>
      <c r="F151" s="77"/>
      <c r="G151" s="77"/>
      <c r="H151" s="77"/>
      <c r="I151" s="77" t="s">
        <v>31</v>
      </c>
      <c r="J151" s="78">
        <v>235.95</v>
      </c>
      <c r="K151" s="78">
        <v>235.95</v>
      </c>
      <c r="L151" s="78">
        <v>200.12</v>
      </c>
      <c r="M151" s="78">
        <v>211.6</v>
      </c>
      <c r="N151" s="78">
        <v>220.4</v>
      </c>
      <c r="O151" s="78">
        <v>229.3</v>
      </c>
      <c r="P151" s="111"/>
      <c r="Q151" s="111"/>
      <c r="R151" s="111"/>
      <c r="S151" s="111"/>
      <c r="T151" s="111"/>
      <c r="U151" s="111"/>
      <c r="V151" s="111"/>
      <c r="W151" s="111"/>
    </row>
    <row r="152" spans="1:23" s="112" customFormat="1" ht="30" customHeight="1" x14ac:dyDescent="0.3">
      <c r="A152" s="372"/>
      <c r="B152" s="373"/>
      <c r="C152" s="80" t="s">
        <v>313</v>
      </c>
      <c r="D152" s="80" t="s">
        <v>32</v>
      </c>
      <c r="E152" s="82" t="s">
        <v>289</v>
      </c>
      <c r="F152" s="77"/>
      <c r="G152" s="77"/>
      <c r="H152" s="77"/>
      <c r="I152" s="77" t="s">
        <v>33</v>
      </c>
      <c r="J152" s="78">
        <v>0</v>
      </c>
      <c r="K152" s="78">
        <v>0</v>
      </c>
      <c r="L152" s="78">
        <v>0</v>
      </c>
      <c r="M152" s="78">
        <v>0</v>
      </c>
      <c r="N152" s="78">
        <v>0</v>
      </c>
      <c r="O152" s="78">
        <v>0</v>
      </c>
      <c r="P152" s="111"/>
      <c r="Q152" s="111"/>
      <c r="R152" s="111"/>
      <c r="S152" s="111"/>
      <c r="T152" s="111"/>
      <c r="U152" s="111"/>
      <c r="V152" s="111"/>
      <c r="W152" s="111"/>
    </row>
    <row r="153" spans="1:23" s="112" customFormat="1" ht="69.75" customHeight="1" x14ac:dyDescent="0.3">
      <c r="A153" s="372"/>
      <c r="B153" s="373"/>
      <c r="C153" s="80" t="s">
        <v>314</v>
      </c>
      <c r="D153" s="80" t="s">
        <v>37</v>
      </c>
      <c r="E153" s="82" t="s">
        <v>304</v>
      </c>
      <c r="F153" s="77"/>
      <c r="G153" s="77"/>
      <c r="H153" s="77"/>
      <c r="I153" s="77" t="s">
        <v>39</v>
      </c>
      <c r="J153" s="78">
        <v>0.06</v>
      </c>
      <c r="K153" s="78">
        <v>0.06</v>
      </c>
      <c r="L153" s="78">
        <v>2.57</v>
      </c>
      <c r="M153" s="78">
        <v>0</v>
      </c>
      <c r="N153" s="78">
        <v>0</v>
      </c>
      <c r="O153" s="78">
        <v>0</v>
      </c>
      <c r="P153" s="111"/>
      <c r="Q153" s="111"/>
      <c r="R153" s="111"/>
      <c r="S153" s="111"/>
      <c r="T153" s="111"/>
      <c r="U153" s="111"/>
      <c r="V153" s="111"/>
      <c r="W153" s="111"/>
    </row>
    <row r="154" spans="1:23" s="151" customFormat="1" ht="89.25" x14ac:dyDescent="0.3">
      <c r="A154" s="372"/>
      <c r="B154" s="373"/>
      <c r="C154" s="260" t="s">
        <v>315</v>
      </c>
      <c r="D154" s="115"/>
      <c r="E154" s="142" t="s">
        <v>316</v>
      </c>
      <c r="F154" s="258" t="s">
        <v>19</v>
      </c>
      <c r="G154" s="258" t="s">
        <v>134</v>
      </c>
      <c r="H154" s="258" t="s">
        <v>317</v>
      </c>
      <c r="I154" s="258"/>
      <c r="J154" s="116">
        <f>J155+J156+J157+J158+J159</f>
        <v>12031.21</v>
      </c>
      <c r="K154" s="116">
        <f t="shared" ref="K154:O154" si="41">K155+K156+K157+K158+K159</f>
        <v>11991.08</v>
      </c>
      <c r="L154" s="116">
        <f t="shared" si="41"/>
        <v>12789.82</v>
      </c>
      <c r="M154" s="116">
        <f t="shared" si="41"/>
        <v>14965.56</v>
      </c>
      <c r="N154" s="116">
        <f t="shared" si="41"/>
        <v>15768.990000000002</v>
      </c>
      <c r="O154" s="116">
        <f t="shared" si="41"/>
        <v>15811.59</v>
      </c>
      <c r="P154" s="149"/>
      <c r="Q154" s="150"/>
      <c r="R154" s="150"/>
      <c r="S154" s="150"/>
      <c r="T154" s="150"/>
      <c r="U154" s="150"/>
      <c r="V154" s="150"/>
      <c r="W154" s="150"/>
    </row>
    <row r="155" spans="1:23" s="151" customFormat="1" ht="142.5" customHeight="1" x14ac:dyDescent="0.3">
      <c r="A155" s="372"/>
      <c r="B155" s="373"/>
      <c r="C155" s="98" t="s">
        <v>318</v>
      </c>
      <c r="D155" s="115"/>
      <c r="E155" s="82" t="s">
        <v>319</v>
      </c>
      <c r="F155" s="69"/>
      <c r="G155" s="69"/>
      <c r="H155" s="69"/>
      <c r="I155" s="77" t="s">
        <v>280</v>
      </c>
      <c r="J155" s="78">
        <v>7933.19</v>
      </c>
      <c r="K155" s="78">
        <v>7933.19</v>
      </c>
      <c r="L155" s="78">
        <v>9028.68</v>
      </c>
      <c r="M155" s="78">
        <v>10719.71</v>
      </c>
      <c r="N155" s="78">
        <v>11304.45</v>
      </c>
      <c r="O155" s="78">
        <v>11304.45</v>
      </c>
      <c r="P155" s="150"/>
      <c r="Q155" s="150"/>
      <c r="R155" s="150"/>
      <c r="S155" s="150"/>
      <c r="T155" s="150"/>
      <c r="U155" s="150"/>
      <c r="V155" s="150"/>
      <c r="W155" s="150"/>
    </row>
    <row r="156" spans="1:23" s="151" customFormat="1" ht="124.5" customHeight="1" x14ac:dyDescent="0.3">
      <c r="A156" s="372"/>
      <c r="B156" s="373"/>
      <c r="C156" s="98" t="s">
        <v>320</v>
      </c>
      <c r="D156" s="81" t="s">
        <v>65</v>
      </c>
      <c r="E156" s="82" t="s">
        <v>107</v>
      </c>
      <c r="F156" s="69"/>
      <c r="G156" s="69"/>
      <c r="H156" s="69"/>
      <c r="I156" s="77" t="s">
        <v>281</v>
      </c>
      <c r="J156" s="78">
        <v>0</v>
      </c>
      <c r="K156" s="78">
        <v>0</v>
      </c>
      <c r="L156" s="78">
        <v>0</v>
      </c>
      <c r="M156" s="78">
        <v>5.7</v>
      </c>
      <c r="N156" s="78">
        <v>6.1</v>
      </c>
      <c r="O156" s="78">
        <v>6.3</v>
      </c>
      <c r="P156" s="150"/>
      <c r="Q156" s="150"/>
      <c r="R156" s="150"/>
      <c r="S156" s="150"/>
      <c r="T156" s="150"/>
      <c r="U156" s="150"/>
      <c r="V156" s="150"/>
      <c r="W156" s="150"/>
    </row>
    <row r="157" spans="1:23" s="151" customFormat="1" ht="132" customHeight="1" x14ac:dyDescent="0.3">
      <c r="A157" s="372"/>
      <c r="B157" s="373"/>
      <c r="C157" s="80" t="s">
        <v>321</v>
      </c>
      <c r="D157" s="86"/>
      <c r="E157" s="82" t="s">
        <v>299</v>
      </c>
      <c r="F157" s="77"/>
      <c r="G157" s="77"/>
      <c r="H157" s="77"/>
      <c r="I157" s="77" t="s">
        <v>284</v>
      </c>
      <c r="J157" s="78">
        <v>2194.98</v>
      </c>
      <c r="K157" s="78">
        <v>2194.98</v>
      </c>
      <c r="L157" s="78">
        <v>2761.18</v>
      </c>
      <c r="M157" s="78">
        <v>3237.35</v>
      </c>
      <c r="N157" s="78">
        <v>3413.94</v>
      </c>
      <c r="O157" s="78">
        <v>3413.94</v>
      </c>
      <c r="P157" s="150"/>
      <c r="Q157" s="150"/>
      <c r="R157" s="150"/>
      <c r="S157" s="150"/>
      <c r="T157" s="150"/>
      <c r="U157" s="150"/>
      <c r="V157" s="150"/>
      <c r="W157" s="150"/>
    </row>
    <row r="158" spans="1:23" s="151" customFormat="1" ht="134.25" customHeight="1" x14ac:dyDescent="0.3">
      <c r="A158" s="372"/>
      <c r="B158" s="373"/>
      <c r="C158" s="80" t="s">
        <v>300</v>
      </c>
      <c r="D158" s="26" t="s">
        <v>322</v>
      </c>
      <c r="E158" s="82" t="s">
        <v>302</v>
      </c>
      <c r="F158" s="77"/>
      <c r="G158" s="77"/>
      <c r="H158" s="77"/>
      <c r="I158" s="77" t="s">
        <v>31</v>
      </c>
      <c r="J158" s="78">
        <v>1902.98</v>
      </c>
      <c r="K158" s="78">
        <v>1862.85</v>
      </c>
      <c r="L158" s="78">
        <v>995.49</v>
      </c>
      <c r="M158" s="78">
        <v>992.8</v>
      </c>
      <c r="N158" s="78">
        <v>1034.5</v>
      </c>
      <c r="O158" s="78">
        <v>1076.9000000000001</v>
      </c>
      <c r="P158" s="150"/>
      <c r="Q158" s="150"/>
      <c r="R158" s="150"/>
      <c r="S158" s="150"/>
      <c r="T158" s="150"/>
      <c r="U158" s="150"/>
      <c r="V158" s="150"/>
      <c r="W158" s="150"/>
    </row>
    <row r="159" spans="1:23" s="151" customFormat="1" ht="69.75" customHeight="1" x14ac:dyDescent="0.3">
      <c r="A159" s="372"/>
      <c r="B159" s="373"/>
      <c r="C159" s="80" t="s">
        <v>314</v>
      </c>
      <c r="D159" s="80" t="s">
        <v>37</v>
      </c>
      <c r="E159" s="82" t="s">
        <v>304</v>
      </c>
      <c r="F159" s="77"/>
      <c r="G159" s="77"/>
      <c r="H159" s="77"/>
      <c r="I159" s="77" t="s">
        <v>39</v>
      </c>
      <c r="J159" s="78">
        <v>0.06</v>
      </c>
      <c r="K159" s="78">
        <v>0.06</v>
      </c>
      <c r="L159" s="78">
        <v>4.47</v>
      </c>
      <c r="M159" s="78">
        <v>10</v>
      </c>
      <c r="N159" s="78">
        <v>10</v>
      </c>
      <c r="O159" s="78">
        <v>10</v>
      </c>
      <c r="P159" s="150"/>
      <c r="Q159" s="150"/>
      <c r="R159" s="150"/>
      <c r="S159" s="150"/>
      <c r="T159" s="150"/>
      <c r="U159" s="150"/>
      <c r="V159" s="150"/>
      <c r="W159" s="150"/>
    </row>
    <row r="160" spans="1:23" s="151" customFormat="1" ht="121.5" customHeight="1" x14ac:dyDescent="0.3">
      <c r="A160" s="372"/>
      <c r="B160" s="373"/>
      <c r="C160" s="142" t="s">
        <v>323</v>
      </c>
      <c r="D160" s="115"/>
      <c r="E160" s="142" t="s">
        <v>324</v>
      </c>
      <c r="F160" s="258" t="s">
        <v>19</v>
      </c>
      <c r="G160" s="258" t="s">
        <v>134</v>
      </c>
      <c r="H160" s="258" t="s">
        <v>325</v>
      </c>
      <c r="I160" s="77"/>
      <c r="J160" s="116">
        <f>J161+J162+J163+J164+J165+J166+J167+J168</f>
        <v>38653.019999999997</v>
      </c>
      <c r="K160" s="116">
        <f t="shared" ref="K160:O160" si="42">K161+K162+K163+K164+K165+K166+K167+K168</f>
        <v>38558.99</v>
      </c>
      <c r="L160" s="116">
        <f t="shared" si="42"/>
        <v>41776.01</v>
      </c>
      <c r="M160" s="116">
        <f t="shared" si="42"/>
        <v>50357.7</v>
      </c>
      <c r="N160" s="116">
        <f t="shared" si="42"/>
        <v>49256.6</v>
      </c>
      <c r="O160" s="116">
        <f t="shared" si="42"/>
        <v>49430</v>
      </c>
      <c r="P160" s="152"/>
      <c r="Q160" s="153"/>
      <c r="R160" s="153"/>
      <c r="S160" s="153"/>
      <c r="T160" s="153"/>
      <c r="U160" s="153"/>
      <c r="V160" s="153"/>
      <c r="W160" s="150"/>
    </row>
    <row r="161" spans="1:23" s="151" customFormat="1" ht="119.25" customHeight="1" x14ac:dyDescent="0.3">
      <c r="A161" s="372"/>
      <c r="B161" s="373"/>
      <c r="C161" s="84" t="s">
        <v>326</v>
      </c>
      <c r="D161" s="80"/>
      <c r="E161" s="82" t="s">
        <v>327</v>
      </c>
      <c r="F161" s="77"/>
      <c r="G161" s="77"/>
      <c r="H161" s="77"/>
      <c r="I161" s="77" t="s">
        <v>280</v>
      </c>
      <c r="J161" s="78">
        <v>27722.17</v>
      </c>
      <c r="K161" s="78">
        <v>27722.17</v>
      </c>
      <c r="L161" s="78">
        <v>29049.74</v>
      </c>
      <c r="M161" s="78">
        <v>36406</v>
      </c>
      <c r="N161" s="78">
        <v>35202.1</v>
      </c>
      <c r="O161" s="78">
        <v>35202.1</v>
      </c>
      <c r="P161" s="150"/>
      <c r="Q161" s="153"/>
      <c r="R161" s="153"/>
      <c r="S161" s="150"/>
      <c r="T161" s="150"/>
      <c r="U161" s="150"/>
      <c r="V161" s="150"/>
      <c r="W161" s="150"/>
    </row>
    <row r="162" spans="1:23" s="151" customFormat="1" ht="173.25" customHeight="1" x14ac:dyDescent="0.3">
      <c r="A162" s="372"/>
      <c r="B162" s="373"/>
      <c r="C162" s="80" t="s">
        <v>328</v>
      </c>
      <c r="D162" s="81" t="s">
        <v>65</v>
      </c>
      <c r="E162" s="82" t="s">
        <v>107</v>
      </c>
      <c r="F162" s="261"/>
      <c r="G162" s="77"/>
      <c r="H162" s="77"/>
      <c r="I162" s="77" t="s">
        <v>281</v>
      </c>
      <c r="J162" s="78">
        <v>0</v>
      </c>
      <c r="K162" s="78">
        <v>0</v>
      </c>
      <c r="L162" s="78">
        <v>0</v>
      </c>
      <c r="M162" s="78">
        <v>0</v>
      </c>
      <c r="N162" s="78">
        <v>0</v>
      </c>
      <c r="O162" s="78">
        <v>0</v>
      </c>
      <c r="P162" s="150"/>
      <c r="Q162" s="150"/>
      <c r="R162" s="150"/>
      <c r="S162" s="150"/>
      <c r="T162" s="150"/>
      <c r="U162" s="150"/>
      <c r="V162" s="150"/>
      <c r="W162" s="150"/>
    </row>
    <row r="163" spans="1:23" s="151" customFormat="1" ht="146.44999999999999" customHeight="1" x14ac:dyDescent="0.3">
      <c r="A163" s="372"/>
      <c r="B163" s="373"/>
      <c r="C163" s="80" t="s">
        <v>329</v>
      </c>
      <c r="D163" s="86"/>
      <c r="E163" s="82" t="s">
        <v>299</v>
      </c>
      <c r="F163" s="261"/>
      <c r="G163" s="77"/>
      <c r="H163" s="77"/>
      <c r="I163" s="77" t="s">
        <v>284</v>
      </c>
      <c r="J163" s="78">
        <v>8190.85</v>
      </c>
      <c r="K163" s="78">
        <v>8190.85</v>
      </c>
      <c r="L163" s="78">
        <v>9560.08</v>
      </c>
      <c r="M163" s="78">
        <v>10994.6</v>
      </c>
      <c r="N163" s="78">
        <v>10631</v>
      </c>
      <c r="O163" s="78">
        <v>10631</v>
      </c>
      <c r="P163" s="150"/>
      <c r="Q163" s="150"/>
      <c r="R163" s="150"/>
      <c r="S163" s="150"/>
      <c r="T163" s="150"/>
      <c r="U163" s="150"/>
      <c r="V163" s="150"/>
      <c r="W163" s="150"/>
    </row>
    <row r="164" spans="1:23" s="151" customFormat="1" ht="123.75" customHeight="1" x14ac:dyDescent="0.3">
      <c r="A164" s="372"/>
      <c r="B164" s="373"/>
      <c r="C164" s="84" t="s">
        <v>330</v>
      </c>
      <c r="D164" s="26" t="s">
        <v>331</v>
      </c>
      <c r="E164" s="132" t="s">
        <v>332</v>
      </c>
      <c r="F164" s="261"/>
      <c r="G164" s="77"/>
      <c r="H164" s="77"/>
      <c r="I164" s="77" t="s">
        <v>31</v>
      </c>
      <c r="J164" s="78">
        <v>2253.19</v>
      </c>
      <c r="K164" s="78">
        <v>2173.0300000000002</v>
      </c>
      <c r="L164" s="78">
        <v>2448.0500000000002</v>
      </c>
      <c r="M164" s="78">
        <v>1574.5</v>
      </c>
      <c r="N164" s="78">
        <v>1916.4</v>
      </c>
      <c r="O164" s="78">
        <v>2028</v>
      </c>
      <c r="P164" s="150"/>
      <c r="Q164" s="150"/>
      <c r="R164" s="150"/>
      <c r="S164" s="150"/>
      <c r="T164" s="150"/>
      <c r="U164" s="150"/>
      <c r="V164" s="150"/>
      <c r="W164" s="150"/>
    </row>
    <row r="165" spans="1:23" s="151" customFormat="1" ht="81" customHeight="1" x14ac:dyDescent="0.3">
      <c r="A165" s="372"/>
      <c r="B165" s="373"/>
      <c r="C165" s="80" t="s">
        <v>290</v>
      </c>
      <c r="D165" s="26" t="s">
        <v>333</v>
      </c>
      <c r="E165" s="132" t="s">
        <v>332</v>
      </c>
      <c r="F165" s="261"/>
      <c r="G165" s="77"/>
      <c r="H165" s="77"/>
      <c r="I165" s="77" t="s">
        <v>87</v>
      </c>
      <c r="J165" s="78">
        <v>486.31</v>
      </c>
      <c r="K165" s="78">
        <v>472.44</v>
      </c>
      <c r="L165" s="78">
        <v>690.9</v>
      </c>
      <c r="M165" s="78">
        <v>1382.6</v>
      </c>
      <c r="N165" s="78">
        <v>1507.1</v>
      </c>
      <c r="O165" s="78">
        <v>1568.9</v>
      </c>
      <c r="P165" s="150"/>
      <c r="Q165" s="150"/>
      <c r="R165" s="150"/>
      <c r="S165" s="150"/>
      <c r="T165" s="150"/>
      <c r="U165" s="150"/>
      <c r="V165" s="150"/>
      <c r="W165" s="150"/>
    </row>
    <row r="166" spans="1:23" s="151" customFormat="1" ht="32.450000000000003" customHeight="1" x14ac:dyDescent="0.3">
      <c r="A166" s="372"/>
      <c r="B166" s="373"/>
      <c r="C166" s="26" t="s">
        <v>333</v>
      </c>
      <c r="D166" s="80" t="s">
        <v>32</v>
      </c>
      <c r="E166" s="82" t="s">
        <v>334</v>
      </c>
      <c r="F166" s="261"/>
      <c r="G166" s="77"/>
      <c r="H166" s="77"/>
      <c r="I166" s="77" t="s">
        <v>33</v>
      </c>
      <c r="J166" s="78">
        <v>0</v>
      </c>
      <c r="K166" s="78">
        <v>0</v>
      </c>
      <c r="L166" s="78">
        <v>0</v>
      </c>
      <c r="M166" s="78">
        <v>0</v>
      </c>
      <c r="N166" s="78">
        <v>0</v>
      </c>
      <c r="O166" s="78">
        <v>0</v>
      </c>
      <c r="P166" s="150"/>
      <c r="Q166" s="150"/>
      <c r="R166" s="150"/>
      <c r="S166" s="150"/>
      <c r="T166" s="150"/>
      <c r="U166" s="150"/>
      <c r="V166" s="150"/>
      <c r="W166" s="150"/>
    </row>
    <row r="167" spans="1:23" s="151" customFormat="1" ht="44.45" customHeight="1" x14ac:dyDescent="0.3">
      <c r="A167" s="372"/>
      <c r="B167" s="373"/>
      <c r="C167" s="98" t="s">
        <v>303</v>
      </c>
      <c r="D167" s="80" t="s">
        <v>34</v>
      </c>
      <c r="E167" s="82" t="s">
        <v>334</v>
      </c>
      <c r="F167" s="261"/>
      <c r="G167" s="77"/>
      <c r="H167" s="77"/>
      <c r="I167" s="77" t="s">
        <v>35</v>
      </c>
      <c r="J167" s="78">
        <v>0</v>
      </c>
      <c r="K167" s="78">
        <v>0</v>
      </c>
      <c r="L167" s="78">
        <v>0</v>
      </c>
      <c r="M167" s="78">
        <v>0</v>
      </c>
      <c r="N167" s="78">
        <v>0</v>
      </c>
      <c r="O167" s="78">
        <v>0</v>
      </c>
      <c r="P167" s="150"/>
      <c r="Q167" s="150"/>
      <c r="R167" s="150"/>
      <c r="S167" s="150"/>
      <c r="T167" s="150"/>
      <c r="U167" s="150"/>
      <c r="V167" s="150"/>
      <c r="W167" s="150"/>
    </row>
    <row r="168" spans="1:23" s="151" customFormat="1" ht="66" customHeight="1" x14ac:dyDescent="0.3">
      <c r="A168" s="372"/>
      <c r="B168" s="373"/>
      <c r="C168" s="80" t="s">
        <v>37</v>
      </c>
      <c r="D168" s="80" t="s">
        <v>37</v>
      </c>
      <c r="E168" s="82" t="s">
        <v>335</v>
      </c>
      <c r="F168" s="261"/>
      <c r="G168" s="77"/>
      <c r="H168" s="77"/>
      <c r="I168" s="77" t="s">
        <v>39</v>
      </c>
      <c r="J168" s="78">
        <v>0.5</v>
      </c>
      <c r="K168" s="78">
        <v>0.5</v>
      </c>
      <c r="L168" s="78">
        <v>27.24</v>
      </c>
      <c r="M168" s="78">
        <v>0</v>
      </c>
      <c r="N168" s="78">
        <v>0</v>
      </c>
      <c r="O168" s="78">
        <v>0</v>
      </c>
      <c r="P168" s="150"/>
      <c r="Q168" s="150"/>
      <c r="R168" s="150"/>
      <c r="S168" s="150"/>
      <c r="T168" s="150"/>
      <c r="U168" s="150"/>
      <c r="V168" s="150"/>
      <c r="W168" s="150"/>
    </row>
    <row r="169" spans="1:23" s="112" customFormat="1" ht="114.75" x14ac:dyDescent="0.3">
      <c r="A169" s="372"/>
      <c r="B169" s="373"/>
      <c r="C169" s="221" t="s">
        <v>336</v>
      </c>
      <c r="D169" s="262" t="s">
        <v>337</v>
      </c>
      <c r="E169" s="263" t="s">
        <v>338</v>
      </c>
      <c r="F169" s="264" t="s">
        <v>72</v>
      </c>
      <c r="G169" s="108" t="s">
        <v>105</v>
      </c>
      <c r="H169" s="108" t="s">
        <v>339</v>
      </c>
      <c r="I169" s="108"/>
      <c r="J169" s="116">
        <f>J170+J171+J172+J173+J174+J175+J176+J177+J178</f>
        <v>12067.720000000001</v>
      </c>
      <c r="K169" s="116">
        <f>K170+K171+K172+K173+K174+K175+K176+K177+K178</f>
        <v>12067.720000000001</v>
      </c>
      <c r="L169" s="116">
        <f>L170+L171+L172+L173+L174+L175+L176+L177+L178</f>
        <v>11905.41</v>
      </c>
      <c r="M169" s="116">
        <f t="shared" ref="M169:O169" si="43">M170+M171+M172+M173+M174+M175+M176+M177+M178</f>
        <v>18836.079999999998</v>
      </c>
      <c r="N169" s="116">
        <f t="shared" si="43"/>
        <v>18424.079999999994</v>
      </c>
      <c r="O169" s="116">
        <f t="shared" si="43"/>
        <v>18424.079999999994</v>
      </c>
      <c r="P169" s="111"/>
      <c r="Q169" s="111"/>
      <c r="R169" s="111"/>
      <c r="S169" s="111"/>
      <c r="T169" s="111"/>
      <c r="U169" s="111"/>
      <c r="V169" s="111"/>
      <c r="W169" s="111"/>
    </row>
    <row r="170" spans="1:23" s="112" customFormat="1" ht="84.75" customHeight="1" x14ac:dyDescent="0.3">
      <c r="A170" s="372"/>
      <c r="B170" s="373"/>
      <c r="C170" s="82" t="s">
        <v>340</v>
      </c>
      <c r="D170" s="154"/>
      <c r="E170" s="147" t="s">
        <v>341</v>
      </c>
      <c r="F170" s="155"/>
      <c r="G170" s="109"/>
      <c r="H170" s="109"/>
      <c r="I170" s="109" t="s">
        <v>280</v>
      </c>
      <c r="J170" s="78">
        <v>7400</v>
      </c>
      <c r="K170" s="78">
        <v>7400</v>
      </c>
      <c r="L170" s="78">
        <v>7084.2</v>
      </c>
      <c r="M170" s="78">
        <v>9318.93</v>
      </c>
      <c r="N170" s="78">
        <v>9827.65</v>
      </c>
      <c r="O170" s="78">
        <v>9827.65</v>
      </c>
      <c r="P170" s="111"/>
      <c r="Q170" s="111"/>
      <c r="R170" s="111"/>
      <c r="S170" s="111"/>
      <c r="T170" s="111"/>
      <c r="U170" s="111"/>
      <c r="V170" s="111"/>
      <c r="W170" s="111"/>
    </row>
    <row r="171" spans="1:23" s="112" customFormat="1" ht="125.25" customHeight="1" x14ac:dyDescent="0.3">
      <c r="A171" s="372"/>
      <c r="B171" s="373"/>
      <c r="C171" s="84" t="s">
        <v>342</v>
      </c>
      <c r="D171" s="146"/>
      <c r="E171" s="147" t="s">
        <v>311</v>
      </c>
      <c r="F171" s="155"/>
      <c r="G171" s="109"/>
      <c r="H171" s="109"/>
      <c r="I171" s="109" t="s">
        <v>284</v>
      </c>
      <c r="J171" s="78">
        <v>2024.88</v>
      </c>
      <c r="K171" s="78">
        <v>2024.88</v>
      </c>
      <c r="L171" s="78">
        <v>2250.1999999999998</v>
      </c>
      <c r="M171" s="78">
        <v>2814.31</v>
      </c>
      <c r="N171" s="78">
        <v>2967.95</v>
      </c>
      <c r="O171" s="78">
        <v>2967.95</v>
      </c>
      <c r="P171" s="111"/>
      <c r="Q171" s="111"/>
      <c r="R171" s="111"/>
      <c r="S171" s="111"/>
      <c r="T171" s="111"/>
      <c r="U171" s="111"/>
      <c r="V171" s="111"/>
      <c r="W171" s="111"/>
    </row>
    <row r="172" spans="1:23" s="112" customFormat="1" ht="90" customHeight="1" x14ac:dyDescent="0.3">
      <c r="A172" s="372"/>
      <c r="B172" s="373"/>
      <c r="C172" s="80" t="s">
        <v>343</v>
      </c>
      <c r="D172" s="81" t="s">
        <v>65</v>
      </c>
      <c r="E172" s="82" t="s">
        <v>107</v>
      </c>
      <c r="F172" s="155"/>
      <c r="G172" s="109"/>
      <c r="H172" s="109"/>
      <c r="I172" s="109" t="s">
        <v>281</v>
      </c>
      <c r="J172" s="78">
        <v>0</v>
      </c>
      <c r="K172" s="78">
        <v>0</v>
      </c>
      <c r="L172" s="78">
        <v>0</v>
      </c>
      <c r="M172" s="78">
        <v>4.9400000000000004</v>
      </c>
      <c r="N172" s="78">
        <v>5.0999999999999996</v>
      </c>
      <c r="O172" s="78">
        <v>5.0999999999999996</v>
      </c>
      <c r="P172" s="111"/>
      <c r="Q172" s="111"/>
      <c r="R172" s="111"/>
      <c r="S172" s="111"/>
      <c r="T172" s="111"/>
      <c r="U172" s="111"/>
      <c r="V172" s="111"/>
      <c r="W172" s="111"/>
    </row>
    <row r="173" spans="1:23" s="112" customFormat="1" ht="45" customHeight="1" x14ac:dyDescent="0.3">
      <c r="A173" s="372"/>
      <c r="B173" s="373"/>
      <c r="C173" s="156" t="s">
        <v>344</v>
      </c>
      <c r="D173" s="146"/>
      <c r="E173" s="147" t="s">
        <v>345</v>
      </c>
      <c r="F173" s="155"/>
      <c r="G173" s="109"/>
      <c r="H173" s="109"/>
      <c r="I173" s="109" t="s">
        <v>41</v>
      </c>
      <c r="J173" s="78">
        <v>871.56</v>
      </c>
      <c r="K173" s="78">
        <v>871.56</v>
      </c>
      <c r="L173" s="78">
        <v>451.47</v>
      </c>
      <c r="M173" s="78">
        <v>3514.6</v>
      </c>
      <c r="N173" s="78">
        <v>2300</v>
      </c>
      <c r="O173" s="78">
        <v>2000</v>
      </c>
      <c r="P173" s="111"/>
      <c r="Q173" s="111"/>
      <c r="R173" s="111"/>
      <c r="S173" s="111"/>
      <c r="T173" s="111"/>
      <c r="U173" s="111"/>
      <c r="V173" s="111"/>
      <c r="W173" s="111"/>
    </row>
    <row r="174" spans="1:23" s="112" customFormat="1" ht="112.5" customHeight="1" x14ac:dyDescent="0.3">
      <c r="A174" s="372"/>
      <c r="B174" s="373"/>
      <c r="C174" s="265" t="s">
        <v>346</v>
      </c>
      <c r="D174" s="147" t="s">
        <v>347</v>
      </c>
      <c r="E174" s="147" t="s">
        <v>345</v>
      </c>
      <c r="F174" s="155"/>
      <c r="G174" s="109"/>
      <c r="H174" s="109"/>
      <c r="I174" s="109" t="s">
        <v>31</v>
      </c>
      <c r="J174" s="78">
        <v>1400.2</v>
      </c>
      <c r="K174" s="78">
        <v>1400.2</v>
      </c>
      <c r="L174" s="78">
        <v>1711.1</v>
      </c>
      <c r="M174" s="78">
        <v>2676.7</v>
      </c>
      <c r="N174" s="78">
        <v>2788.6</v>
      </c>
      <c r="O174" s="78">
        <v>3057.9</v>
      </c>
      <c r="P174" s="111"/>
      <c r="Q174" s="111"/>
      <c r="R174" s="111"/>
      <c r="S174" s="111"/>
      <c r="T174" s="111"/>
      <c r="U174" s="111"/>
      <c r="V174" s="111"/>
      <c r="W174" s="111"/>
    </row>
    <row r="175" spans="1:23" s="112" customFormat="1" ht="45" customHeight="1" x14ac:dyDescent="0.3">
      <c r="A175" s="372"/>
      <c r="B175" s="373"/>
      <c r="C175" s="84" t="s">
        <v>348</v>
      </c>
      <c r="D175" s="147" t="s">
        <v>349</v>
      </c>
      <c r="E175" s="147" t="s">
        <v>345</v>
      </c>
      <c r="F175" s="155"/>
      <c r="G175" s="109"/>
      <c r="H175" s="109"/>
      <c r="I175" s="109" t="s">
        <v>87</v>
      </c>
      <c r="J175" s="78">
        <v>183.5</v>
      </c>
      <c r="K175" s="78">
        <v>183.5</v>
      </c>
      <c r="L175" s="78">
        <v>220.1</v>
      </c>
      <c r="M175" s="78">
        <v>313.39999999999998</v>
      </c>
      <c r="N175" s="78">
        <v>341.6</v>
      </c>
      <c r="O175" s="78">
        <v>372.3</v>
      </c>
      <c r="P175" s="111"/>
      <c r="Q175" s="111"/>
      <c r="R175" s="111"/>
      <c r="S175" s="111"/>
      <c r="T175" s="111"/>
      <c r="U175" s="111"/>
      <c r="V175" s="111"/>
      <c r="W175" s="111"/>
    </row>
    <row r="176" spans="1:23" s="112" customFormat="1" ht="25.5" x14ac:dyDescent="0.3">
      <c r="A176" s="372"/>
      <c r="B176" s="373"/>
      <c r="C176" s="98" t="s">
        <v>313</v>
      </c>
      <c r="D176" s="80" t="s">
        <v>32</v>
      </c>
      <c r="E176" s="82" t="s">
        <v>350</v>
      </c>
      <c r="F176" s="155"/>
      <c r="G176" s="109"/>
      <c r="H176" s="109"/>
      <c r="I176" s="109" t="s">
        <v>33</v>
      </c>
      <c r="J176" s="92">
        <v>51.24</v>
      </c>
      <c r="K176" s="92">
        <v>51.24</v>
      </c>
      <c r="L176" s="92">
        <v>41.9</v>
      </c>
      <c r="M176" s="92">
        <v>38.799999999999997</v>
      </c>
      <c r="N176" s="92">
        <v>38.799999999999997</v>
      </c>
      <c r="O176" s="92">
        <v>38.799999999999997</v>
      </c>
      <c r="P176" s="111"/>
      <c r="Q176" s="111"/>
      <c r="R176" s="111"/>
      <c r="S176" s="111"/>
      <c r="T176" s="111"/>
      <c r="U176" s="111"/>
      <c r="V176" s="111"/>
      <c r="W176" s="111"/>
    </row>
    <row r="177" spans="1:27" s="112" customFormat="1" ht="25.5" x14ac:dyDescent="0.3">
      <c r="A177" s="372"/>
      <c r="B177" s="373"/>
      <c r="C177" s="98" t="s">
        <v>313</v>
      </c>
      <c r="D177" s="80" t="s">
        <v>34</v>
      </c>
      <c r="E177" s="82" t="s">
        <v>350</v>
      </c>
      <c r="F177" s="155"/>
      <c r="G177" s="109"/>
      <c r="H177" s="109"/>
      <c r="I177" s="109" t="s">
        <v>35</v>
      </c>
      <c r="J177" s="92">
        <v>4.01</v>
      </c>
      <c r="K177" s="92">
        <v>4.01</v>
      </c>
      <c r="L177" s="92">
        <v>9.11</v>
      </c>
      <c r="M177" s="92">
        <v>15.8</v>
      </c>
      <c r="N177" s="92">
        <v>15.78</v>
      </c>
      <c r="O177" s="92">
        <v>15.78</v>
      </c>
      <c r="P177" s="111"/>
      <c r="Q177" s="111"/>
      <c r="R177" s="111"/>
      <c r="S177" s="111"/>
      <c r="T177" s="111"/>
      <c r="U177" s="111"/>
      <c r="V177" s="111"/>
      <c r="W177" s="111"/>
    </row>
    <row r="178" spans="1:27" s="112" customFormat="1" ht="116.25" customHeight="1" x14ac:dyDescent="0.3">
      <c r="A178" s="380"/>
      <c r="B178" s="374"/>
      <c r="C178" s="157" t="s">
        <v>351</v>
      </c>
      <c r="D178" s="80" t="s">
        <v>37</v>
      </c>
      <c r="E178" s="82" t="s">
        <v>352</v>
      </c>
      <c r="F178" s="155"/>
      <c r="G178" s="109"/>
      <c r="H178" s="109"/>
      <c r="I178" s="109" t="s">
        <v>39</v>
      </c>
      <c r="J178" s="92">
        <v>132.33000000000001</v>
      </c>
      <c r="K178" s="92">
        <v>132.33000000000001</v>
      </c>
      <c r="L178" s="92">
        <v>137.33000000000001</v>
      </c>
      <c r="M178" s="92">
        <v>138.6</v>
      </c>
      <c r="N178" s="92">
        <v>138.6</v>
      </c>
      <c r="O178" s="92">
        <v>138.6</v>
      </c>
      <c r="P178" s="111"/>
      <c r="Q178" s="111"/>
      <c r="R178" s="111"/>
      <c r="S178" s="111"/>
      <c r="T178" s="111"/>
      <c r="U178" s="111"/>
      <c r="V178" s="111"/>
      <c r="W178" s="111"/>
    </row>
    <row r="179" spans="1:27" s="112" customFormat="1" ht="126" customHeight="1" x14ac:dyDescent="0.3">
      <c r="A179" s="179"/>
      <c r="B179" s="266" t="s">
        <v>353</v>
      </c>
      <c r="C179" s="176" t="s">
        <v>354</v>
      </c>
      <c r="D179" s="142" t="s">
        <v>355</v>
      </c>
      <c r="E179" s="142" t="s">
        <v>356</v>
      </c>
      <c r="F179" s="69" t="s">
        <v>105</v>
      </c>
      <c r="G179" s="69" t="s">
        <v>72</v>
      </c>
      <c r="H179" s="69" t="s">
        <v>357</v>
      </c>
      <c r="I179" s="69" t="s">
        <v>31</v>
      </c>
      <c r="J179" s="71">
        <v>3315.5</v>
      </c>
      <c r="K179" s="71">
        <v>3315.5</v>
      </c>
      <c r="L179" s="71">
        <v>6550.54</v>
      </c>
      <c r="M179" s="71">
        <v>6141.2</v>
      </c>
      <c r="N179" s="71">
        <v>5876.5</v>
      </c>
      <c r="O179" s="71">
        <v>6117.4</v>
      </c>
      <c r="P179" s="111"/>
      <c r="Q179" s="111"/>
      <c r="R179" s="111"/>
      <c r="S179" s="111"/>
      <c r="T179" s="111"/>
      <c r="U179" s="111"/>
      <c r="V179" s="111"/>
      <c r="W179" s="111"/>
    </row>
    <row r="180" spans="1:27" s="106" customFormat="1" ht="115.9" customHeight="1" x14ac:dyDescent="0.3">
      <c r="A180" s="379">
        <v>902</v>
      </c>
      <c r="B180" s="379" t="s">
        <v>358</v>
      </c>
      <c r="C180" s="115" t="s">
        <v>359</v>
      </c>
      <c r="D180" s="115" t="s">
        <v>360</v>
      </c>
      <c r="E180" s="142" t="s">
        <v>361</v>
      </c>
      <c r="F180" s="70" t="s">
        <v>19</v>
      </c>
      <c r="G180" s="70" t="s">
        <v>109</v>
      </c>
      <c r="H180" s="70" t="s">
        <v>362</v>
      </c>
      <c r="I180" s="70"/>
      <c r="J180" s="71">
        <f t="shared" ref="J180:O180" si="44">J181</f>
        <v>0</v>
      </c>
      <c r="K180" s="71">
        <f t="shared" si="44"/>
        <v>0</v>
      </c>
      <c r="L180" s="71">
        <f t="shared" si="44"/>
        <v>0</v>
      </c>
      <c r="M180" s="71">
        <f t="shared" si="44"/>
        <v>14700</v>
      </c>
      <c r="N180" s="71">
        <f t="shared" si="44"/>
        <v>0</v>
      </c>
      <c r="O180" s="71">
        <f t="shared" si="44"/>
        <v>0</v>
      </c>
      <c r="P180" s="105"/>
      <c r="Q180" s="105"/>
      <c r="R180" s="105"/>
      <c r="S180" s="105"/>
      <c r="T180" s="105"/>
      <c r="U180" s="105"/>
      <c r="V180" s="105"/>
      <c r="W180" s="105"/>
    </row>
    <row r="181" spans="1:27" s="112" customFormat="1" ht="101.25" customHeight="1" x14ac:dyDescent="0.3">
      <c r="A181" s="380"/>
      <c r="B181" s="412"/>
      <c r="C181" s="83" t="s">
        <v>363</v>
      </c>
      <c r="D181" s="80" t="s">
        <v>364</v>
      </c>
      <c r="E181" s="82" t="s">
        <v>365</v>
      </c>
      <c r="F181" s="109"/>
      <c r="G181" s="109"/>
      <c r="H181" s="109"/>
      <c r="I181" s="109" t="s">
        <v>366</v>
      </c>
      <c r="J181" s="78">
        <v>0</v>
      </c>
      <c r="K181" s="78">
        <v>0</v>
      </c>
      <c r="L181" s="78">
        <v>0</v>
      </c>
      <c r="M181" s="78">
        <v>14700</v>
      </c>
      <c r="N181" s="78">
        <v>0</v>
      </c>
      <c r="O181" s="78">
        <v>0</v>
      </c>
      <c r="P181" s="111"/>
      <c r="Q181" s="111"/>
      <c r="R181" s="111"/>
      <c r="S181" s="111"/>
      <c r="T181" s="111"/>
      <c r="U181" s="111"/>
      <c r="V181" s="111"/>
      <c r="W181" s="111"/>
    </row>
    <row r="182" spans="1:27" s="66" customFormat="1" ht="94.5" customHeight="1" x14ac:dyDescent="0.3">
      <c r="A182" s="379">
        <v>902</v>
      </c>
      <c r="B182" s="378" t="s">
        <v>367</v>
      </c>
      <c r="C182" s="142" t="s">
        <v>368</v>
      </c>
      <c r="D182" s="142" t="s">
        <v>369</v>
      </c>
      <c r="E182" s="142" t="s">
        <v>370</v>
      </c>
      <c r="F182" s="70" t="s">
        <v>19</v>
      </c>
      <c r="G182" s="70" t="s">
        <v>124</v>
      </c>
      <c r="H182" s="70" t="s">
        <v>371</v>
      </c>
      <c r="I182" s="70" t="s">
        <v>372</v>
      </c>
      <c r="J182" s="71">
        <f>SUM(J183:J185)</f>
        <v>0</v>
      </c>
      <c r="K182" s="71">
        <f t="shared" ref="K182:O182" si="45">SUM(K183:K185)</f>
        <v>0</v>
      </c>
      <c r="L182" s="71">
        <f t="shared" si="45"/>
        <v>0</v>
      </c>
      <c r="M182" s="71">
        <f t="shared" si="45"/>
        <v>2000</v>
      </c>
      <c r="N182" s="71">
        <f t="shared" si="45"/>
        <v>2000</v>
      </c>
      <c r="O182" s="71">
        <f t="shared" si="45"/>
        <v>2000</v>
      </c>
      <c r="P182" s="65"/>
      <c r="Q182" s="65"/>
      <c r="R182" s="65"/>
      <c r="S182" s="65"/>
      <c r="T182" s="65"/>
      <c r="U182" s="65"/>
      <c r="V182" s="65"/>
      <c r="W182" s="65"/>
    </row>
    <row r="183" spans="1:27" s="66" customFormat="1" ht="39.6" customHeight="1" x14ac:dyDescent="0.3">
      <c r="A183" s="372"/>
      <c r="B183" s="373"/>
      <c r="C183" s="82" t="s">
        <v>373</v>
      </c>
      <c r="D183" s="82"/>
      <c r="E183" s="147" t="s">
        <v>374</v>
      </c>
      <c r="F183" s="109" t="s">
        <v>19</v>
      </c>
      <c r="G183" s="109" t="s">
        <v>124</v>
      </c>
      <c r="H183" s="109" t="s">
        <v>371</v>
      </c>
      <c r="I183" s="109" t="s">
        <v>372</v>
      </c>
      <c r="J183" s="78">
        <v>0</v>
      </c>
      <c r="K183" s="78">
        <v>0</v>
      </c>
      <c r="L183" s="78">
        <v>0</v>
      </c>
      <c r="M183" s="78">
        <v>2000</v>
      </c>
      <c r="N183" s="78">
        <v>2000</v>
      </c>
      <c r="O183" s="78">
        <v>2000</v>
      </c>
      <c r="P183" s="65"/>
      <c r="Q183" s="65"/>
      <c r="R183" s="65"/>
      <c r="S183" s="65"/>
      <c r="T183" s="65"/>
      <c r="U183" s="65"/>
      <c r="V183" s="65"/>
      <c r="W183" s="65"/>
    </row>
    <row r="184" spans="1:27" s="66" customFormat="1" ht="27" customHeight="1" x14ac:dyDescent="0.3">
      <c r="A184" s="372"/>
      <c r="B184" s="373"/>
      <c r="C184" s="84"/>
      <c r="D184" s="82"/>
      <c r="E184" s="147"/>
      <c r="F184" s="109" t="s">
        <v>20</v>
      </c>
      <c r="G184" s="109" t="s">
        <v>220</v>
      </c>
      <c r="H184" s="109" t="s">
        <v>371</v>
      </c>
      <c r="I184" s="109" t="s">
        <v>31</v>
      </c>
      <c r="J184" s="78">
        <v>0</v>
      </c>
      <c r="K184" s="78">
        <v>0</v>
      </c>
      <c r="L184" s="78">
        <v>0</v>
      </c>
      <c r="M184" s="78">
        <v>0</v>
      </c>
      <c r="N184" s="78">
        <v>0</v>
      </c>
      <c r="O184" s="78">
        <v>0</v>
      </c>
      <c r="P184" s="65"/>
      <c r="Q184" s="65"/>
      <c r="R184" s="65"/>
      <c r="S184" s="65"/>
      <c r="T184" s="65"/>
      <c r="U184" s="65"/>
      <c r="V184" s="65"/>
      <c r="W184" s="65"/>
    </row>
    <row r="185" spans="1:27" s="112" customFormat="1" ht="27" customHeight="1" x14ac:dyDescent="0.3">
      <c r="A185" s="380"/>
      <c r="B185" s="390"/>
      <c r="C185" s="82"/>
      <c r="D185" s="158"/>
      <c r="E185" s="158"/>
      <c r="F185" s="109" t="s">
        <v>220</v>
      </c>
      <c r="G185" s="109" t="s">
        <v>20</v>
      </c>
      <c r="H185" s="109" t="s">
        <v>371</v>
      </c>
      <c r="I185" s="109" t="s">
        <v>83</v>
      </c>
      <c r="J185" s="78">
        <v>0</v>
      </c>
      <c r="K185" s="78">
        <v>0</v>
      </c>
      <c r="L185" s="78">
        <v>0</v>
      </c>
      <c r="M185" s="78">
        <v>0</v>
      </c>
      <c r="N185" s="78">
        <v>0</v>
      </c>
      <c r="O185" s="78">
        <v>0</v>
      </c>
      <c r="P185" s="111"/>
      <c r="Q185" s="111"/>
      <c r="R185" s="111"/>
      <c r="S185" s="111"/>
      <c r="T185" s="111"/>
      <c r="U185" s="111"/>
      <c r="V185" s="111"/>
      <c r="W185" s="111"/>
    </row>
    <row r="186" spans="1:27" s="66" customFormat="1" ht="114" customHeight="1" x14ac:dyDescent="0.3">
      <c r="A186" s="379">
        <v>902</v>
      </c>
      <c r="B186" s="378" t="s">
        <v>375</v>
      </c>
      <c r="C186" s="142" t="s">
        <v>376</v>
      </c>
      <c r="D186" s="142" t="s">
        <v>377</v>
      </c>
      <c r="E186" s="267" t="s">
        <v>378</v>
      </c>
      <c r="F186" s="70" t="s">
        <v>134</v>
      </c>
      <c r="G186" s="70" t="s">
        <v>19</v>
      </c>
      <c r="H186" s="70"/>
      <c r="I186" s="70"/>
      <c r="J186" s="71">
        <f>SUM(J187:J188)</f>
        <v>884.5</v>
      </c>
      <c r="K186" s="71">
        <f t="shared" ref="K186:O186" si="46">SUM(K187:K188)</f>
        <v>884.5</v>
      </c>
      <c r="L186" s="71">
        <f t="shared" si="46"/>
        <v>109.7</v>
      </c>
      <c r="M186" s="71">
        <f t="shared" si="46"/>
        <v>13.4</v>
      </c>
      <c r="N186" s="71">
        <f t="shared" si="46"/>
        <v>0</v>
      </c>
      <c r="O186" s="71">
        <f t="shared" si="46"/>
        <v>0</v>
      </c>
      <c r="P186" s="65"/>
      <c r="Q186" s="65"/>
      <c r="R186" s="65"/>
      <c r="S186" s="65"/>
      <c r="T186" s="65"/>
      <c r="U186" s="65"/>
      <c r="V186" s="65"/>
      <c r="W186" s="65"/>
    </row>
    <row r="187" spans="1:27" s="74" customFormat="1" ht="105.75" customHeight="1" x14ac:dyDescent="0.3">
      <c r="A187" s="380"/>
      <c r="B187" s="373"/>
      <c r="C187" s="159" t="s">
        <v>379</v>
      </c>
      <c r="D187" s="82" t="s">
        <v>380</v>
      </c>
      <c r="E187" s="82" t="s">
        <v>381</v>
      </c>
      <c r="F187" s="109"/>
      <c r="G187" s="109"/>
      <c r="H187" s="109" t="s">
        <v>382</v>
      </c>
      <c r="I187" s="109" t="s">
        <v>383</v>
      </c>
      <c r="J187" s="78">
        <v>884.5</v>
      </c>
      <c r="K187" s="78">
        <v>884.5</v>
      </c>
      <c r="L187" s="78">
        <v>0</v>
      </c>
      <c r="M187" s="78">
        <v>0</v>
      </c>
      <c r="N187" s="78">
        <v>0</v>
      </c>
      <c r="O187" s="78">
        <v>0</v>
      </c>
      <c r="P187" s="160"/>
      <c r="Q187" s="73"/>
      <c r="R187" s="73"/>
      <c r="S187" s="73"/>
      <c r="T187" s="73"/>
      <c r="U187" s="73"/>
      <c r="V187" s="73"/>
      <c r="W187" s="73"/>
    </row>
    <row r="188" spans="1:27" s="112" customFormat="1" ht="54" customHeight="1" x14ac:dyDescent="0.3">
      <c r="A188" s="268"/>
      <c r="B188" s="374"/>
      <c r="C188" s="161" t="s">
        <v>384</v>
      </c>
      <c r="D188" s="82"/>
      <c r="E188" s="82" t="s">
        <v>89</v>
      </c>
      <c r="F188" s="109"/>
      <c r="G188" s="109"/>
      <c r="H188" s="109" t="s">
        <v>385</v>
      </c>
      <c r="I188" s="109" t="s">
        <v>383</v>
      </c>
      <c r="J188" s="78">
        <v>0</v>
      </c>
      <c r="K188" s="78">
        <v>0</v>
      </c>
      <c r="L188" s="78">
        <v>109.7</v>
      </c>
      <c r="M188" s="78">
        <v>13.4</v>
      </c>
      <c r="N188" s="78">
        <v>0</v>
      </c>
      <c r="O188" s="78">
        <v>0</v>
      </c>
      <c r="P188" s="129"/>
      <c r="Q188" s="111"/>
      <c r="R188" s="111"/>
      <c r="S188" s="111"/>
      <c r="T188" s="111"/>
      <c r="U188" s="111"/>
      <c r="V188" s="111"/>
      <c r="W188" s="111"/>
    </row>
    <row r="189" spans="1:27" s="164" customFormat="1" ht="145.5" customHeight="1" x14ac:dyDescent="0.3">
      <c r="A189" s="379">
        <v>902</v>
      </c>
      <c r="B189" s="378" t="s">
        <v>386</v>
      </c>
      <c r="C189" s="269" t="s">
        <v>387</v>
      </c>
      <c r="D189" s="226" t="s">
        <v>388</v>
      </c>
      <c r="E189" s="115" t="s">
        <v>389</v>
      </c>
      <c r="F189" s="177" t="s">
        <v>220</v>
      </c>
      <c r="G189" s="177" t="s">
        <v>72</v>
      </c>
      <c r="H189" s="177"/>
      <c r="I189" s="177"/>
      <c r="J189" s="178">
        <f>J190+J191+J192+J193</f>
        <v>10421.82</v>
      </c>
      <c r="K189" s="178">
        <f t="shared" ref="K189:O189" si="47">K190+K191+K192+K193</f>
        <v>10421.700000000001</v>
      </c>
      <c r="L189" s="178">
        <f>L190+L191+L192+L193</f>
        <v>19104.02</v>
      </c>
      <c r="M189" s="178">
        <f t="shared" si="47"/>
        <v>25937.9</v>
      </c>
      <c r="N189" s="178">
        <f t="shared" si="47"/>
        <v>24173.9</v>
      </c>
      <c r="O189" s="178">
        <f t="shared" si="47"/>
        <v>8712.4</v>
      </c>
      <c r="P189" s="162"/>
      <c r="Q189" s="162"/>
      <c r="R189" s="162"/>
      <c r="S189" s="162"/>
      <c r="T189" s="162"/>
      <c r="U189" s="162"/>
      <c r="V189" s="162"/>
      <c r="W189" s="162"/>
      <c r="X189" s="163"/>
      <c r="Y189" s="163"/>
      <c r="Z189" s="163"/>
      <c r="AA189" s="163"/>
    </row>
    <row r="190" spans="1:27" s="164" customFormat="1" ht="33" customHeight="1" x14ac:dyDescent="0.3">
      <c r="A190" s="372"/>
      <c r="B190" s="373"/>
      <c r="C190" s="165"/>
      <c r="D190" s="80"/>
      <c r="E190" s="80"/>
      <c r="F190" s="166" t="s">
        <v>220</v>
      </c>
      <c r="G190" s="166" t="s">
        <v>72</v>
      </c>
      <c r="H190" s="166" t="s">
        <v>390</v>
      </c>
      <c r="I190" s="166" t="s">
        <v>391</v>
      </c>
      <c r="J190" s="167">
        <v>0</v>
      </c>
      <c r="K190" s="167">
        <v>0</v>
      </c>
      <c r="L190" s="167">
        <v>0</v>
      </c>
      <c r="M190" s="167">
        <v>0</v>
      </c>
      <c r="N190" s="167">
        <v>0</v>
      </c>
      <c r="O190" s="167">
        <v>0</v>
      </c>
      <c r="P190" s="168"/>
      <c r="Q190" s="169"/>
      <c r="R190" s="169"/>
      <c r="S190" s="169"/>
      <c r="T190" s="169"/>
      <c r="U190" s="169"/>
      <c r="V190" s="169"/>
      <c r="W190" s="169"/>
    </row>
    <row r="191" spans="1:27" s="164" customFormat="1" ht="66" customHeight="1" x14ac:dyDescent="0.3">
      <c r="A191" s="372"/>
      <c r="B191" s="373"/>
      <c r="C191" s="165" t="s">
        <v>680</v>
      </c>
      <c r="D191" s="80" t="s">
        <v>392</v>
      </c>
      <c r="E191" s="80" t="s">
        <v>393</v>
      </c>
      <c r="F191" s="170" t="s">
        <v>220</v>
      </c>
      <c r="G191" s="170" t="s">
        <v>72</v>
      </c>
      <c r="H191" s="170" t="s">
        <v>394</v>
      </c>
      <c r="I191" s="170" t="s">
        <v>391</v>
      </c>
      <c r="J191" s="171">
        <v>5419.4</v>
      </c>
      <c r="K191" s="171">
        <v>5419.28</v>
      </c>
      <c r="L191" s="171">
        <v>7259.5</v>
      </c>
      <c r="M191" s="171">
        <v>0</v>
      </c>
      <c r="N191" s="171">
        <v>0</v>
      </c>
      <c r="O191" s="171">
        <v>0</v>
      </c>
      <c r="P191" s="168"/>
      <c r="Q191" s="169"/>
      <c r="R191" s="169"/>
      <c r="S191" s="169"/>
      <c r="T191" s="169"/>
      <c r="U191" s="169"/>
      <c r="V191" s="169"/>
      <c r="W191" s="169"/>
    </row>
    <row r="192" spans="1:27" s="164" customFormat="1" ht="42" customHeight="1" x14ac:dyDescent="0.3">
      <c r="A192" s="380"/>
      <c r="B192" s="373"/>
      <c r="C192" s="82" t="s">
        <v>395</v>
      </c>
      <c r="D192" s="80"/>
      <c r="E192" s="80" t="s">
        <v>396</v>
      </c>
      <c r="F192" s="170" t="s">
        <v>220</v>
      </c>
      <c r="G192" s="170" t="s">
        <v>72</v>
      </c>
      <c r="H192" s="170" t="s">
        <v>394</v>
      </c>
      <c r="I192" s="170" t="s">
        <v>391</v>
      </c>
      <c r="J192" s="171">
        <v>5002.42</v>
      </c>
      <c r="K192" s="171">
        <v>5002.42</v>
      </c>
      <c r="L192" s="171">
        <v>0</v>
      </c>
      <c r="M192" s="171">
        <v>9856.4</v>
      </c>
      <c r="N192" s="171">
        <v>8369.2999999999993</v>
      </c>
      <c r="O192" s="171">
        <v>8712.4</v>
      </c>
      <c r="P192" s="168"/>
      <c r="Q192" s="169"/>
      <c r="R192" s="169"/>
      <c r="S192" s="169"/>
      <c r="T192" s="169"/>
      <c r="U192" s="169"/>
      <c r="V192" s="169"/>
      <c r="W192" s="169"/>
    </row>
    <row r="193" spans="1:25" s="164" customFormat="1" ht="36.75" customHeight="1" x14ac:dyDescent="0.3">
      <c r="A193" s="172"/>
      <c r="B193" s="374"/>
      <c r="C193" s="82" t="s">
        <v>395</v>
      </c>
      <c r="D193" s="80"/>
      <c r="E193" s="173"/>
      <c r="F193" s="170" t="s">
        <v>220</v>
      </c>
      <c r="G193" s="170" t="s">
        <v>72</v>
      </c>
      <c r="H193" s="170" t="s">
        <v>397</v>
      </c>
      <c r="I193" s="170" t="s">
        <v>391</v>
      </c>
      <c r="J193" s="171">
        <v>0</v>
      </c>
      <c r="K193" s="171">
        <v>0</v>
      </c>
      <c r="L193" s="171">
        <v>11844.52</v>
      </c>
      <c r="M193" s="171">
        <v>16081.5</v>
      </c>
      <c r="N193" s="171">
        <v>15804.6</v>
      </c>
      <c r="O193" s="171">
        <v>0</v>
      </c>
      <c r="P193" s="174"/>
      <c r="Q193" s="169"/>
      <c r="R193" s="169"/>
      <c r="S193" s="169"/>
      <c r="T193" s="169"/>
      <c r="U193" s="169"/>
      <c r="V193" s="169"/>
      <c r="W193" s="169"/>
    </row>
    <row r="194" spans="1:25" s="164" customFormat="1" ht="138" customHeight="1" x14ac:dyDescent="0.3">
      <c r="A194" s="172">
        <v>902</v>
      </c>
      <c r="B194" s="270" t="s">
        <v>398</v>
      </c>
      <c r="C194" s="142" t="s">
        <v>399</v>
      </c>
      <c r="D194" s="115" t="s">
        <v>400</v>
      </c>
      <c r="E194" s="115" t="s">
        <v>401</v>
      </c>
      <c r="F194" s="177" t="s">
        <v>20</v>
      </c>
      <c r="G194" s="177" t="s">
        <v>402</v>
      </c>
      <c r="H194" s="177" t="s">
        <v>403</v>
      </c>
      <c r="I194" s="177" t="s">
        <v>31</v>
      </c>
      <c r="J194" s="178">
        <v>1.5</v>
      </c>
      <c r="K194" s="178">
        <v>1.5</v>
      </c>
      <c r="L194" s="178">
        <v>12.6</v>
      </c>
      <c r="M194" s="178">
        <v>58.6</v>
      </c>
      <c r="N194" s="178">
        <v>61.1</v>
      </c>
      <c r="O194" s="178">
        <v>63.6</v>
      </c>
      <c r="P194" s="169"/>
      <c r="Q194" s="169"/>
      <c r="R194" s="162"/>
      <c r="S194" s="169"/>
      <c r="T194" s="169"/>
      <c r="U194" s="169"/>
      <c r="V194" s="169"/>
      <c r="W194" s="169"/>
    </row>
    <row r="195" spans="1:25" s="164" customFormat="1" ht="162" customHeight="1" x14ac:dyDescent="0.25">
      <c r="A195" s="172">
        <v>902</v>
      </c>
      <c r="B195" s="378" t="s">
        <v>404</v>
      </c>
      <c r="C195" s="176" t="s">
        <v>405</v>
      </c>
      <c r="D195" s="115" t="s">
        <v>406</v>
      </c>
      <c r="E195" s="115" t="s">
        <v>407</v>
      </c>
      <c r="F195" s="271"/>
      <c r="G195" s="271"/>
      <c r="H195" s="271"/>
      <c r="I195" s="271"/>
      <c r="J195" s="178">
        <f t="shared" ref="J195:O195" si="48">J196+J197+J198+J199+J201+J211+J212+J213+J222+J223+J224</f>
        <v>44701.630000000012</v>
      </c>
      <c r="K195" s="178">
        <f t="shared" si="48"/>
        <v>44567.25</v>
      </c>
      <c r="L195" s="178">
        <f>L196+L197+L198+L199+L201+L211+L212+L213+L222+L223+L224+L200</f>
        <v>57286.851999999999</v>
      </c>
      <c r="M195" s="178">
        <f t="shared" si="48"/>
        <v>58458.450000000012</v>
      </c>
      <c r="N195" s="178">
        <f t="shared" si="48"/>
        <v>57140.4</v>
      </c>
      <c r="O195" s="178">
        <f t="shared" si="48"/>
        <v>57608.7</v>
      </c>
      <c r="P195" s="175"/>
      <c r="Q195" s="175"/>
      <c r="R195" s="175"/>
      <c r="S195" s="175"/>
      <c r="T195" s="175"/>
      <c r="U195" s="175"/>
      <c r="V195" s="175"/>
      <c r="W195" s="175"/>
    </row>
    <row r="196" spans="1:25" s="164" customFormat="1" ht="64.5" customHeight="1" x14ac:dyDescent="0.3">
      <c r="A196" s="172">
        <v>902</v>
      </c>
      <c r="B196" s="373"/>
      <c r="C196" s="176" t="s">
        <v>408</v>
      </c>
      <c r="D196" s="176"/>
      <c r="E196" s="115" t="s">
        <v>409</v>
      </c>
      <c r="F196" s="177" t="s">
        <v>20</v>
      </c>
      <c r="G196" s="177" t="s">
        <v>110</v>
      </c>
      <c r="H196" s="177" t="s">
        <v>410</v>
      </c>
      <c r="I196" s="177" t="s">
        <v>31</v>
      </c>
      <c r="J196" s="178">
        <v>0</v>
      </c>
      <c r="K196" s="178">
        <v>0</v>
      </c>
      <c r="L196" s="178">
        <v>0</v>
      </c>
      <c r="M196" s="178">
        <v>0</v>
      </c>
      <c r="N196" s="178">
        <v>0</v>
      </c>
      <c r="O196" s="178">
        <v>0</v>
      </c>
      <c r="P196" s="162"/>
      <c r="Q196" s="162"/>
      <c r="R196" s="162"/>
      <c r="S196" s="162"/>
      <c r="T196" s="162"/>
      <c r="U196" s="162"/>
      <c r="V196" s="162"/>
      <c r="W196" s="162"/>
      <c r="X196" s="162"/>
      <c r="Y196" s="162"/>
    </row>
    <row r="197" spans="1:25" s="164" customFormat="1" ht="132" customHeight="1" x14ac:dyDescent="0.3">
      <c r="A197" s="172"/>
      <c r="B197" s="373"/>
      <c r="C197" s="176" t="s">
        <v>411</v>
      </c>
      <c r="D197" s="115" t="s">
        <v>412</v>
      </c>
      <c r="E197" s="115" t="s">
        <v>413</v>
      </c>
      <c r="F197" s="177" t="s">
        <v>20</v>
      </c>
      <c r="G197" s="177" t="s">
        <v>220</v>
      </c>
      <c r="H197" s="177" t="s">
        <v>410</v>
      </c>
      <c r="I197" s="177" t="s">
        <v>31</v>
      </c>
      <c r="J197" s="178">
        <v>5864.82</v>
      </c>
      <c r="K197" s="178">
        <v>5864.82</v>
      </c>
      <c r="L197" s="178">
        <v>4468.2</v>
      </c>
      <c r="M197" s="178">
        <v>4068</v>
      </c>
      <c r="N197" s="178">
        <v>4238.8</v>
      </c>
      <c r="O197" s="178">
        <v>4333</v>
      </c>
      <c r="P197" s="162"/>
      <c r="Q197" s="169"/>
      <c r="R197" s="169"/>
      <c r="S197" s="169"/>
      <c r="T197" s="169"/>
      <c r="U197" s="169"/>
      <c r="V197" s="169"/>
      <c r="W197" s="169"/>
    </row>
    <row r="198" spans="1:25" s="164" customFormat="1" ht="103.5" customHeight="1" x14ac:dyDescent="0.3">
      <c r="A198" s="172">
        <v>902</v>
      </c>
      <c r="B198" s="373"/>
      <c r="C198" s="176" t="s">
        <v>414</v>
      </c>
      <c r="D198" s="80" t="s">
        <v>415</v>
      </c>
      <c r="E198" s="80" t="s">
        <v>416</v>
      </c>
      <c r="F198" s="177" t="s">
        <v>20</v>
      </c>
      <c r="G198" s="177" t="s">
        <v>220</v>
      </c>
      <c r="H198" s="177" t="s">
        <v>417</v>
      </c>
      <c r="I198" s="177" t="s">
        <v>31</v>
      </c>
      <c r="J198" s="178">
        <v>818.56</v>
      </c>
      <c r="K198" s="178">
        <v>818.56</v>
      </c>
      <c r="L198" s="178">
        <v>1125.6400000000001</v>
      </c>
      <c r="M198" s="178">
        <v>2038.8</v>
      </c>
      <c r="N198" s="178">
        <v>2124.4</v>
      </c>
      <c r="O198" s="178">
        <v>2211.5</v>
      </c>
      <c r="P198" s="169"/>
      <c r="Q198" s="169"/>
      <c r="R198" s="169"/>
      <c r="S198" s="169"/>
      <c r="T198" s="169"/>
      <c r="U198" s="169"/>
      <c r="V198" s="169"/>
      <c r="W198" s="169"/>
    </row>
    <row r="199" spans="1:25" s="164" customFormat="1" ht="115.9" customHeight="1" x14ac:dyDescent="0.3">
      <c r="A199" s="179"/>
      <c r="B199" s="373"/>
      <c r="C199" s="176" t="s">
        <v>418</v>
      </c>
      <c r="D199" s="80" t="s">
        <v>419</v>
      </c>
      <c r="E199" s="80" t="s">
        <v>420</v>
      </c>
      <c r="F199" s="177" t="s">
        <v>20</v>
      </c>
      <c r="G199" s="177" t="s">
        <v>220</v>
      </c>
      <c r="H199" s="177" t="s">
        <v>417</v>
      </c>
      <c r="I199" s="177" t="s">
        <v>223</v>
      </c>
      <c r="J199" s="178">
        <v>19.329999999999998</v>
      </c>
      <c r="K199" s="178">
        <v>19.329999999999998</v>
      </c>
      <c r="L199" s="178">
        <v>0</v>
      </c>
      <c r="M199" s="178">
        <v>0</v>
      </c>
      <c r="N199" s="178">
        <v>0</v>
      </c>
      <c r="O199" s="178">
        <v>0</v>
      </c>
      <c r="P199" s="169"/>
      <c r="Q199" s="169"/>
      <c r="R199" s="169"/>
      <c r="S199" s="169"/>
      <c r="T199" s="169"/>
      <c r="U199" s="169"/>
      <c r="V199" s="169"/>
      <c r="W199" s="169"/>
    </row>
    <row r="200" spans="1:25" s="164" customFormat="1" ht="93" customHeight="1" x14ac:dyDescent="0.3">
      <c r="A200" s="179"/>
      <c r="B200" s="373"/>
      <c r="C200" s="176" t="s">
        <v>421</v>
      </c>
      <c r="D200" s="80" t="s">
        <v>422</v>
      </c>
      <c r="E200" s="80" t="s">
        <v>151</v>
      </c>
      <c r="F200" s="177" t="s">
        <v>20</v>
      </c>
      <c r="G200" s="177" t="s">
        <v>110</v>
      </c>
      <c r="H200" s="177" t="s">
        <v>417</v>
      </c>
      <c r="I200" s="177" t="s">
        <v>31</v>
      </c>
      <c r="J200" s="178">
        <v>0</v>
      </c>
      <c r="K200" s="178">
        <v>0</v>
      </c>
      <c r="L200" s="178">
        <v>8850</v>
      </c>
      <c r="M200" s="178">
        <v>0</v>
      </c>
      <c r="N200" s="178">
        <v>0</v>
      </c>
      <c r="O200" s="178">
        <v>0</v>
      </c>
      <c r="P200" s="180"/>
      <c r="Q200" s="169"/>
      <c r="R200" s="169"/>
      <c r="S200" s="169"/>
      <c r="T200" s="169"/>
      <c r="U200" s="169"/>
      <c r="V200" s="169"/>
      <c r="W200" s="169"/>
    </row>
    <row r="201" spans="1:25" s="164" customFormat="1" ht="101.25" customHeight="1" x14ac:dyDescent="0.3">
      <c r="A201" s="379">
        <v>902</v>
      </c>
      <c r="B201" s="373"/>
      <c r="C201" s="176" t="s">
        <v>423</v>
      </c>
      <c r="D201" s="115"/>
      <c r="E201" s="115" t="s">
        <v>424</v>
      </c>
      <c r="F201" s="177" t="s">
        <v>20</v>
      </c>
      <c r="G201" s="177" t="s">
        <v>220</v>
      </c>
      <c r="H201" s="177" t="s">
        <v>425</v>
      </c>
      <c r="I201" s="181"/>
      <c r="J201" s="178">
        <f>J202+J203+J204+J206+J207+J208+J209+J210</f>
        <v>24329.750000000007</v>
      </c>
      <c r="K201" s="178">
        <f t="shared" ref="K201:L201" si="49">K202+K203+K204+K206+K207+K208+K209+K210</f>
        <v>24258.270000000004</v>
      </c>
      <c r="L201" s="178">
        <f t="shared" si="49"/>
        <v>26493.07</v>
      </c>
      <c r="M201" s="178">
        <f>M202+M203+M204+M206+M207+M208+M209+M210+M205</f>
        <v>29551.15</v>
      </c>
      <c r="N201" s="178">
        <f t="shared" ref="N201:O201" si="50">N202+N203+N204+N206+N207+N208+N209+N210+N205</f>
        <v>29282.5</v>
      </c>
      <c r="O201" s="178">
        <f t="shared" si="50"/>
        <v>29267.199999999997</v>
      </c>
      <c r="P201" s="182"/>
      <c r="Q201" s="182"/>
      <c r="R201" s="182"/>
      <c r="S201" s="182"/>
      <c r="T201" s="182"/>
      <c r="U201" s="182"/>
      <c r="V201" s="182"/>
      <c r="W201" s="169"/>
    </row>
    <row r="202" spans="1:25" s="164" customFormat="1" ht="66.599999999999994" customHeight="1" x14ac:dyDescent="0.3">
      <c r="A202" s="372"/>
      <c r="B202" s="373"/>
      <c r="C202" s="84" t="s">
        <v>426</v>
      </c>
      <c r="D202" s="115"/>
      <c r="E202" s="80" t="s">
        <v>427</v>
      </c>
      <c r="F202" s="181"/>
      <c r="G202" s="181"/>
      <c r="H202" s="181"/>
      <c r="I202" s="166" t="s">
        <v>280</v>
      </c>
      <c r="J202" s="167">
        <v>16858</v>
      </c>
      <c r="K202" s="167">
        <v>16858</v>
      </c>
      <c r="L202" s="167">
        <v>17513.5</v>
      </c>
      <c r="M202" s="167">
        <v>18581.2</v>
      </c>
      <c r="N202" s="167">
        <v>19594.5</v>
      </c>
      <c r="O202" s="167">
        <v>19594.5</v>
      </c>
      <c r="P202" s="162"/>
      <c r="Q202" s="162"/>
      <c r="R202" s="169"/>
      <c r="S202" s="169"/>
      <c r="T202" s="169"/>
      <c r="U202" s="169"/>
      <c r="V202" s="169"/>
      <c r="W202" s="169"/>
    </row>
    <row r="203" spans="1:25" s="164" customFormat="1" ht="123.75" customHeight="1" x14ac:dyDescent="0.3">
      <c r="A203" s="372"/>
      <c r="B203" s="373"/>
      <c r="C203" s="145" t="s">
        <v>428</v>
      </c>
      <c r="D203" s="146"/>
      <c r="E203" s="147" t="s">
        <v>299</v>
      </c>
      <c r="F203" s="181"/>
      <c r="G203" s="181"/>
      <c r="H203" s="181"/>
      <c r="I203" s="166" t="s">
        <v>284</v>
      </c>
      <c r="J203" s="167">
        <v>4711.54</v>
      </c>
      <c r="K203" s="167">
        <v>4711.54</v>
      </c>
      <c r="L203" s="167">
        <v>5502.65</v>
      </c>
      <c r="M203" s="167">
        <v>5611.5</v>
      </c>
      <c r="N203" s="167">
        <v>5917.5</v>
      </c>
      <c r="O203" s="167">
        <v>5917.5</v>
      </c>
      <c r="P203" s="169"/>
      <c r="Q203" s="169"/>
      <c r="R203" s="169"/>
      <c r="S203" s="169"/>
      <c r="T203" s="169"/>
      <c r="U203" s="169"/>
      <c r="V203" s="169"/>
      <c r="W203" s="169"/>
    </row>
    <row r="204" spans="1:25" s="164" customFormat="1" ht="90" customHeight="1" x14ac:dyDescent="0.3">
      <c r="A204" s="372"/>
      <c r="B204" s="373"/>
      <c r="C204" s="145" t="s">
        <v>429</v>
      </c>
      <c r="D204" s="81" t="s">
        <v>65</v>
      </c>
      <c r="E204" s="82" t="s">
        <v>107</v>
      </c>
      <c r="F204" s="181"/>
      <c r="G204" s="181"/>
      <c r="H204" s="181"/>
      <c r="I204" s="166" t="s">
        <v>281</v>
      </c>
      <c r="J204" s="167">
        <v>20.11</v>
      </c>
      <c r="K204" s="167">
        <v>20.11</v>
      </c>
      <c r="L204" s="167">
        <v>36.65</v>
      </c>
      <c r="M204" s="167">
        <v>94.8</v>
      </c>
      <c r="N204" s="167">
        <v>98.2</v>
      </c>
      <c r="O204" s="167">
        <v>102.3</v>
      </c>
      <c r="P204" s="169"/>
      <c r="Q204" s="169"/>
      <c r="R204" s="169"/>
      <c r="S204" s="169"/>
      <c r="T204" s="169"/>
      <c r="U204" s="169"/>
      <c r="V204" s="169"/>
      <c r="W204" s="169"/>
    </row>
    <row r="205" spans="1:25" s="164" customFormat="1" ht="65.25" customHeight="1" x14ac:dyDescent="0.3">
      <c r="A205" s="372"/>
      <c r="B205" s="373"/>
      <c r="C205" s="84" t="s">
        <v>430</v>
      </c>
      <c r="D205" s="146"/>
      <c r="E205" s="147" t="s">
        <v>197</v>
      </c>
      <c r="F205" s="181"/>
      <c r="G205" s="181"/>
      <c r="H205" s="181"/>
      <c r="I205" s="166" t="s">
        <v>41</v>
      </c>
      <c r="J205" s="167">
        <v>0</v>
      </c>
      <c r="K205" s="167">
        <v>0</v>
      </c>
      <c r="L205" s="167">
        <v>0</v>
      </c>
      <c r="M205" s="167">
        <v>1666.3</v>
      </c>
      <c r="N205" s="167">
        <v>0</v>
      </c>
      <c r="O205" s="167">
        <v>0</v>
      </c>
      <c r="P205" s="169"/>
      <c r="Q205" s="169"/>
      <c r="R205" s="169"/>
      <c r="S205" s="169"/>
      <c r="T205" s="169"/>
      <c r="U205" s="169"/>
      <c r="V205" s="169"/>
      <c r="W205" s="169"/>
    </row>
    <row r="206" spans="1:25" s="164" customFormat="1" ht="135" customHeight="1" x14ac:dyDescent="0.3">
      <c r="A206" s="372"/>
      <c r="B206" s="373"/>
      <c r="C206" s="84" t="s">
        <v>431</v>
      </c>
      <c r="D206" s="147" t="s">
        <v>432</v>
      </c>
      <c r="E206" s="147" t="s">
        <v>151</v>
      </c>
      <c r="F206" s="181"/>
      <c r="G206" s="181"/>
      <c r="H206" s="181"/>
      <c r="I206" s="166" t="s">
        <v>31</v>
      </c>
      <c r="J206" s="167">
        <v>1945.33</v>
      </c>
      <c r="K206" s="167">
        <v>1873.68</v>
      </c>
      <c r="L206" s="167">
        <v>2353.8200000000002</v>
      </c>
      <c r="M206" s="167">
        <v>2331.9</v>
      </c>
      <c r="N206" s="167">
        <v>2303.6999999999998</v>
      </c>
      <c r="O206" s="167">
        <v>2242.6</v>
      </c>
      <c r="P206" s="169"/>
      <c r="Q206" s="169"/>
      <c r="R206" s="169"/>
      <c r="S206" s="169"/>
      <c r="T206" s="169"/>
      <c r="U206" s="169"/>
      <c r="V206" s="169"/>
      <c r="W206" s="169"/>
    </row>
    <row r="207" spans="1:25" s="164" customFormat="1" ht="45.75" customHeight="1" x14ac:dyDescent="0.3">
      <c r="A207" s="372"/>
      <c r="B207" s="373"/>
      <c r="C207" s="84" t="s">
        <v>433</v>
      </c>
      <c r="D207" s="147" t="s">
        <v>434</v>
      </c>
      <c r="E207" s="147" t="s">
        <v>151</v>
      </c>
      <c r="F207" s="181"/>
      <c r="G207" s="181"/>
      <c r="H207" s="181"/>
      <c r="I207" s="166" t="s">
        <v>87</v>
      </c>
      <c r="J207" s="167">
        <v>678.13</v>
      </c>
      <c r="K207" s="167">
        <v>678.3</v>
      </c>
      <c r="L207" s="167">
        <v>924.75</v>
      </c>
      <c r="M207" s="167">
        <v>1145.5</v>
      </c>
      <c r="N207" s="167">
        <v>1248.5999999999999</v>
      </c>
      <c r="O207" s="167">
        <v>1290.3</v>
      </c>
      <c r="P207" s="169"/>
      <c r="Q207" s="169"/>
      <c r="R207" s="169"/>
      <c r="S207" s="169"/>
      <c r="T207" s="169"/>
      <c r="U207" s="169"/>
      <c r="V207" s="169"/>
      <c r="W207" s="169"/>
    </row>
    <row r="208" spans="1:25" s="164" customFormat="1" ht="25.5" x14ac:dyDescent="0.3">
      <c r="A208" s="372"/>
      <c r="B208" s="373"/>
      <c r="C208" s="98" t="s">
        <v>313</v>
      </c>
      <c r="D208" s="80" t="s">
        <v>32</v>
      </c>
      <c r="E208" s="99" t="s">
        <v>334</v>
      </c>
      <c r="F208" s="181"/>
      <c r="G208" s="181"/>
      <c r="H208" s="181"/>
      <c r="I208" s="166" t="s">
        <v>33</v>
      </c>
      <c r="J208" s="167">
        <v>107.54</v>
      </c>
      <c r="K208" s="167">
        <v>107.54</v>
      </c>
      <c r="L208" s="167">
        <v>116.94</v>
      </c>
      <c r="M208" s="167">
        <v>116.4</v>
      </c>
      <c r="N208" s="167">
        <v>116.4</v>
      </c>
      <c r="O208" s="167">
        <v>116.4</v>
      </c>
      <c r="P208" s="169"/>
      <c r="Q208" s="169"/>
      <c r="R208" s="169"/>
      <c r="S208" s="169"/>
      <c r="T208" s="169"/>
      <c r="U208" s="169"/>
      <c r="V208" s="169"/>
      <c r="W208" s="169"/>
    </row>
    <row r="209" spans="1:23" s="164" customFormat="1" ht="25.5" x14ac:dyDescent="0.3">
      <c r="A209" s="372"/>
      <c r="B209" s="373"/>
      <c r="C209" s="98" t="s">
        <v>313</v>
      </c>
      <c r="D209" s="80" t="s">
        <v>34</v>
      </c>
      <c r="E209" s="99" t="s">
        <v>334</v>
      </c>
      <c r="F209" s="181"/>
      <c r="G209" s="181"/>
      <c r="H209" s="181"/>
      <c r="I209" s="166" t="s">
        <v>35</v>
      </c>
      <c r="J209" s="167">
        <v>8.2200000000000006</v>
      </c>
      <c r="K209" s="167">
        <v>8.2200000000000006</v>
      </c>
      <c r="L209" s="167">
        <v>8.19</v>
      </c>
      <c r="M209" s="167">
        <v>0.95</v>
      </c>
      <c r="N209" s="167">
        <v>1</v>
      </c>
      <c r="O209" s="167">
        <v>1</v>
      </c>
      <c r="P209" s="169"/>
      <c r="Q209" s="169"/>
      <c r="R209" s="169"/>
      <c r="S209" s="169"/>
      <c r="T209" s="169"/>
      <c r="U209" s="169"/>
      <c r="V209" s="169"/>
      <c r="W209" s="169"/>
    </row>
    <row r="210" spans="1:23" s="164" customFormat="1" ht="54.75" customHeight="1" x14ac:dyDescent="0.3">
      <c r="A210" s="380"/>
      <c r="B210" s="373"/>
      <c r="C210" s="80" t="s">
        <v>435</v>
      </c>
      <c r="D210" s="80" t="s">
        <v>37</v>
      </c>
      <c r="E210" s="82" t="s">
        <v>436</v>
      </c>
      <c r="F210" s="181"/>
      <c r="G210" s="181"/>
      <c r="H210" s="181"/>
      <c r="I210" s="166" t="s">
        <v>39</v>
      </c>
      <c r="J210" s="167">
        <v>0.88</v>
      </c>
      <c r="K210" s="167">
        <v>0.88</v>
      </c>
      <c r="L210" s="167">
        <v>36.57</v>
      </c>
      <c r="M210" s="167">
        <v>2.6</v>
      </c>
      <c r="N210" s="167">
        <v>2.6</v>
      </c>
      <c r="O210" s="167">
        <v>2.6</v>
      </c>
      <c r="P210" s="169"/>
      <c r="Q210" s="169"/>
      <c r="R210" s="169"/>
      <c r="S210" s="169"/>
      <c r="T210" s="169"/>
      <c r="U210" s="169"/>
      <c r="V210" s="169"/>
      <c r="W210" s="169"/>
    </row>
    <row r="211" spans="1:23" s="164" customFormat="1" ht="114" customHeight="1" x14ac:dyDescent="0.3">
      <c r="A211" s="172">
        <v>902</v>
      </c>
      <c r="B211" s="374"/>
      <c r="C211" s="145" t="s">
        <v>437</v>
      </c>
      <c r="D211" s="147" t="s">
        <v>438</v>
      </c>
      <c r="E211" s="147" t="s">
        <v>439</v>
      </c>
      <c r="F211" s="177" t="s">
        <v>20</v>
      </c>
      <c r="G211" s="177" t="s">
        <v>110</v>
      </c>
      <c r="H211" s="177" t="s">
        <v>440</v>
      </c>
      <c r="I211" s="177" t="s">
        <v>31</v>
      </c>
      <c r="J211" s="178">
        <v>66.87</v>
      </c>
      <c r="K211" s="178">
        <v>66.87</v>
      </c>
      <c r="L211" s="178">
        <v>46.2</v>
      </c>
      <c r="M211" s="178">
        <v>73.400000000000006</v>
      </c>
      <c r="N211" s="178">
        <v>76.5</v>
      </c>
      <c r="O211" s="178">
        <v>79.599999999999994</v>
      </c>
      <c r="P211" s="169"/>
      <c r="Q211" s="169"/>
      <c r="R211" s="169"/>
      <c r="S211" s="169"/>
      <c r="T211" s="169"/>
      <c r="U211" s="169"/>
      <c r="V211" s="169"/>
      <c r="W211" s="169"/>
    </row>
    <row r="212" spans="1:23" s="164" customFormat="1" ht="95.25" customHeight="1" x14ac:dyDescent="0.3">
      <c r="A212" s="179"/>
      <c r="B212" s="179"/>
      <c r="C212" s="84" t="s">
        <v>431</v>
      </c>
      <c r="D212" s="147" t="s">
        <v>441</v>
      </c>
      <c r="E212" s="147" t="s">
        <v>442</v>
      </c>
      <c r="F212" s="177" t="s">
        <v>20</v>
      </c>
      <c r="G212" s="177" t="s">
        <v>110</v>
      </c>
      <c r="H212" s="177" t="s">
        <v>443</v>
      </c>
      <c r="I212" s="177" t="s">
        <v>31</v>
      </c>
      <c r="J212" s="178">
        <v>58.4</v>
      </c>
      <c r="K212" s="178">
        <v>58.36</v>
      </c>
      <c r="L212" s="178">
        <v>25.29</v>
      </c>
      <c r="M212" s="178">
        <v>208.6</v>
      </c>
      <c r="N212" s="178">
        <v>217.4</v>
      </c>
      <c r="O212" s="178">
        <v>226.3</v>
      </c>
      <c r="P212" s="169"/>
      <c r="Q212" s="169"/>
      <c r="R212" s="169"/>
      <c r="S212" s="169"/>
      <c r="T212" s="169"/>
      <c r="U212" s="169"/>
      <c r="V212" s="169"/>
      <c r="W212" s="169"/>
    </row>
    <row r="213" spans="1:23" s="164" customFormat="1" ht="107.25" customHeight="1" x14ac:dyDescent="0.3">
      <c r="A213" s="379">
        <v>902</v>
      </c>
      <c r="B213" s="372"/>
      <c r="C213" s="220" t="s">
        <v>444</v>
      </c>
      <c r="D213" s="272" t="s">
        <v>445</v>
      </c>
      <c r="E213" s="263" t="s">
        <v>446</v>
      </c>
      <c r="F213" s="177" t="s">
        <v>20</v>
      </c>
      <c r="G213" s="177" t="s">
        <v>220</v>
      </c>
      <c r="H213" s="177" t="s">
        <v>447</v>
      </c>
      <c r="I213" s="177"/>
      <c r="J213" s="178">
        <f>J214+J215+J216+J217+J218+J219+J220+J221</f>
        <v>13472.279999999999</v>
      </c>
      <c r="K213" s="178">
        <f t="shared" ref="K213:O213" si="51">K214+K215+K216+K217+K218+K219+K220+K221</f>
        <v>13409.43</v>
      </c>
      <c r="L213" s="178">
        <f t="shared" si="51"/>
        <v>16278.451999999999</v>
      </c>
      <c r="M213" s="178">
        <f t="shared" si="51"/>
        <v>22417.600000000006</v>
      </c>
      <c r="N213" s="178">
        <f t="shared" si="51"/>
        <v>21095.7</v>
      </c>
      <c r="O213" s="178">
        <f t="shared" si="51"/>
        <v>21277.5</v>
      </c>
      <c r="P213" s="169"/>
      <c r="Q213" s="162"/>
      <c r="R213" s="162"/>
      <c r="S213" s="162"/>
      <c r="T213" s="162"/>
      <c r="U213" s="169"/>
      <c r="V213" s="169"/>
      <c r="W213" s="169"/>
    </row>
    <row r="214" spans="1:23" s="164" customFormat="1" ht="106.5" customHeight="1" x14ac:dyDescent="0.3">
      <c r="A214" s="372"/>
      <c r="B214" s="372"/>
      <c r="C214" s="84" t="s">
        <v>448</v>
      </c>
      <c r="D214" s="115"/>
      <c r="E214" s="80" t="s">
        <v>449</v>
      </c>
      <c r="F214" s="181"/>
      <c r="G214" s="181"/>
      <c r="H214" s="181"/>
      <c r="I214" s="166" t="s">
        <v>280</v>
      </c>
      <c r="J214" s="167">
        <v>9373.84</v>
      </c>
      <c r="K214" s="167">
        <v>9373.83</v>
      </c>
      <c r="L214" s="167">
        <v>11078.65</v>
      </c>
      <c r="M214" s="167">
        <v>12335.2</v>
      </c>
      <c r="N214" s="167">
        <v>13008.2</v>
      </c>
      <c r="O214" s="167">
        <v>13008.2</v>
      </c>
      <c r="P214" s="169"/>
      <c r="Q214" s="169"/>
      <c r="R214" s="169"/>
      <c r="S214" s="169"/>
      <c r="T214" s="169"/>
      <c r="U214" s="169"/>
      <c r="V214" s="169"/>
      <c r="W214" s="169"/>
    </row>
    <row r="215" spans="1:23" s="164" customFormat="1" ht="91.5" customHeight="1" x14ac:dyDescent="0.3">
      <c r="A215" s="372"/>
      <c r="B215" s="372"/>
      <c r="C215" s="145" t="s">
        <v>450</v>
      </c>
      <c r="D215" s="81" t="s">
        <v>65</v>
      </c>
      <c r="E215" s="82" t="s">
        <v>107</v>
      </c>
      <c r="F215" s="181"/>
      <c r="G215" s="181"/>
      <c r="H215" s="181"/>
      <c r="I215" s="166" t="s">
        <v>281</v>
      </c>
      <c r="J215" s="167">
        <v>0</v>
      </c>
      <c r="K215" s="167">
        <v>0</v>
      </c>
      <c r="L215" s="167">
        <v>2.4</v>
      </c>
      <c r="M215" s="167">
        <v>83.5</v>
      </c>
      <c r="N215" s="167">
        <v>85.9</v>
      </c>
      <c r="O215" s="167">
        <v>89.4</v>
      </c>
      <c r="P215" s="169"/>
      <c r="Q215" s="169"/>
      <c r="R215" s="169"/>
      <c r="S215" s="169"/>
      <c r="T215" s="169"/>
      <c r="U215" s="169"/>
      <c r="V215" s="169"/>
      <c r="W215" s="169"/>
    </row>
    <row r="216" spans="1:23" s="164" customFormat="1" ht="97.5" customHeight="1" x14ac:dyDescent="0.3">
      <c r="A216" s="372"/>
      <c r="B216" s="372"/>
      <c r="C216" s="145" t="s">
        <v>451</v>
      </c>
      <c r="D216" s="146"/>
      <c r="E216" s="147" t="s">
        <v>299</v>
      </c>
      <c r="F216" s="181"/>
      <c r="G216" s="181"/>
      <c r="H216" s="181"/>
      <c r="I216" s="166" t="s">
        <v>284</v>
      </c>
      <c r="J216" s="167">
        <v>2610.17</v>
      </c>
      <c r="K216" s="167">
        <v>2610.16</v>
      </c>
      <c r="L216" s="167">
        <v>3355.9</v>
      </c>
      <c r="M216" s="167">
        <v>3725.2</v>
      </c>
      <c r="N216" s="167">
        <v>3928.5</v>
      </c>
      <c r="O216" s="167">
        <v>3928.5</v>
      </c>
      <c r="P216" s="169"/>
      <c r="Q216" s="169"/>
      <c r="R216" s="169"/>
      <c r="S216" s="169"/>
      <c r="T216" s="169"/>
      <c r="U216" s="169"/>
      <c r="V216" s="169"/>
      <c r="W216" s="169"/>
    </row>
    <row r="217" spans="1:23" s="164" customFormat="1" ht="93" customHeight="1" x14ac:dyDescent="0.3">
      <c r="A217" s="372"/>
      <c r="B217" s="372"/>
      <c r="C217" s="84" t="s">
        <v>452</v>
      </c>
      <c r="D217" s="147" t="s">
        <v>453</v>
      </c>
      <c r="E217" s="183" t="s">
        <v>151</v>
      </c>
      <c r="F217" s="181"/>
      <c r="G217" s="181"/>
      <c r="H217" s="181"/>
      <c r="I217" s="166" t="s">
        <v>31</v>
      </c>
      <c r="J217" s="167">
        <v>1325.8</v>
      </c>
      <c r="K217" s="167">
        <v>1263.01</v>
      </c>
      <c r="L217" s="167">
        <v>1647.41</v>
      </c>
      <c r="M217" s="167">
        <v>6045.15</v>
      </c>
      <c r="N217" s="167">
        <v>3826.4</v>
      </c>
      <c r="O217" s="167">
        <v>3985.9</v>
      </c>
      <c r="P217" s="169"/>
      <c r="Q217" s="169"/>
      <c r="R217" s="169"/>
      <c r="S217" s="169"/>
      <c r="T217" s="169"/>
      <c r="U217" s="169"/>
      <c r="V217" s="169"/>
      <c r="W217" s="169"/>
    </row>
    <row r="218" spans="1:23" s="164" customFormat="1" ht="48" customHeight="1" x14ac:dyDescent="0.3">
      <c r="A218" s="372"/>
      <c r="B218" s="372"/>
      <c r="C218" s="84" t="s">
        <v>454</v>
      </c>
      <c r="D218" s="147" t="s">
        <v>455</v>
      </c>
      <c r="E218" s="183" t="s">
        <v>151</v>
      </c>
      <c r="F218" s="181"/>
      <c r="G218" s="181"/>
      <c r="H218" s="181"/>
      <c r="I218" s="166" t="s">
        <v>87</v>
      </c>
      <c r="J218" s="167">
        <v>162.30000000000001</v>
      </c>
      <c r="K218" s="167">
        <v>162.26</v>
      </c>
      <c r="L218" s="167">
        <v>183.8</v>
      </c>
      <c r="M218" s="167">
        <v>197.65</v>
      </c>
      <c r="N218" s="167">
        <v>215.8</v>
      </c>
      <c r="O218" s="167">
        <v>234.6</v>
      </c>
      <c r="P218" s="169"/>
      <c r="Q218" s="169"/>
      <c r="R218" s="169"/>
      <c r="S218" s="169"/>
      <c r="T218" s="169"/>
      <c r="U218" s="169"/>
      <c r="V218" s="169"/>
      <c r="W218" s="169"/>
    </row>
    <row r="219" spans="1:23" s="164" customFormat="1" ht="25.5" x14ac:dyDescent="0.3">
      <c r="A219" s="372"/>
      <c r="B219" s="372"/>
      <c r="C219" s="184" t="s">
        <v>313</v>
      </c>
      <c r="D219" s="80" t="s">
        <v>32</v>
      </c>
      <c r="E219" s="99" t="s">
        <v>334</v>
      </c>
      <c r="F219" s="181"/>
      <c r="G219" s="181"/>
      <c r="H219" s="181"/>
      <c r="I219" s="166" t="s">
        <v>33</v>
      </c>
      <c r="J219" s="167">
        <v>0</v>
      </c>
      <c r="K219" s="167">
        <v>0</v>
      </c>
      <c r="L219" s="167">
        <v>0.68</v>
      </c>
      <c r="M219" s="167">
        <v>18</v>
      </c>
      <c r="N219" s="167">
        <v>18</v>
      </c>
      <c r="O219" s="167">
        <v>18</v>
      </c>
      <c r="P219" s="169"/>
      <c r="Q219" s="169"/>
      <c r="R219" s="169"/>
      <c r="S219" s="169"/>
      <c r="T219" s="169"/>
      <c r="U219" s="169"/>
      <c r="V219" s="169"/>
      <c r="W219" s="169"/>
    </row>
    <row r="220" spans="1:23" s="164" customFormat="1" ht="25.5" x14ac:dyDescent="0.3">
      <c r="A220" s="372"/>
      <c r="B220" s="372"/>
      <c r="C220" s="98" t="s">
        <v>313</v>
      </c>
      <c r="D220" s="80" t="s">
        <v>34</v>
      </c>
      <c r="E220" s="99" t="s">
        <v>334</v>
      </c>
      <c r="F220" s="181"/>
      <c r="G220" s="181"/>
      <c r="H220" s="181"/>
      <c r="I220" s="166" t="s">
        <v>35</v>
      </c>
      <c r="J220" s="185">
        <v>0</v>
      </c>
      <c r="K220" s="185">
        <v>0</v>
      </c>
      <c r="L220" s="185">
        <v>9.52</v>
      </c>
      <c r="M220" s="185">
        <v>12.7</v>
      </c>
      <c r="N220" s="185">
        <v>12.7</v>
      </c>
      <c r="O220" s="185">
        <v>12.7</v>
      </c>
      <c r="P220" s="169"/>
      <c r="Q220" s="169"/>
      <c r="R220" s="169"/>
      <c r="S220" s="169"/>
      <c r="T220" s="169"/>
      <c r="U220" s="169"/>
      <c r="V220" s="169"/>
      <c r="W220" s="169"/>
    </row>
    <row r="221" spans="1:23" s="164" customFormat="1" ht="64.5" customHeight="1" x14ac:dyDescent="0.3">
      <c r="A221" s="380"/>
      <c r="B221" s="372"/>
      <c r="C221" s="82" t="s">
        <v>456</v>
      </c>
      <c r="D221" s="80" t="s">
        <v>37</v>
      </c>
      <c r="E221" s="82" t="s">
        <v>457</v>
      </c>
      <c r="F221" s="186"/>
      <c r="G221" s="186"/>
      <c r="H221" s="186"/>
      <c r="I221" s="166" t="s">
        <v>39</v>
      </c>
      <c r="J221" s="185">
        <v>0.17</v>
      </c>
      <c r="K221" s="185">
        <v>0.17</v>
      </c>
      <c r="L221" s="185">
        <v>9.1999999999999998E-2</v>
      </c>
      <c r="M221" s="185">
        <v>0.2</v>
      </c>
      <c r="N221" s="185">
        <v>0.2</v>
      </c>
      <c r="O221" s="185">
        <v>0.2</v>
      </c>
      <c r="P221" s="169"/>
      <c r="Q221" s="169"/>
      <c r="R221" s="169"/>
      <c r="S221" s="169"/>
      <c r="T221" s="169"/>
      <c r="U221" s="169"/>
      <c r="V221" s="169"/>
      <c r="W221" s="169"/>
    </row>
    <row r="222" spans="1:23" s="188" customFormat="1" ht="42" customHeight="1" x14ac:dyDescent="0.3">
      <c r="A222" s="172"/>
      <c r="B222" s="372"/>
      <c r="C222" s="273" t="s">
        <v>458</v>
      </c>
      <c r="D222" s="147" t="s">
        <v>455</v>
      </c>
      <c r="E222" s="132"/>
      <c r="F222" s="177" t="s">
        <v>20</v>
      </c>
      <c r="G222" s="177" t="s">
        <v>220</v>
      </c>
      <c r="H222" s="177" t="s">
        <v>459</v>
      </c>
      <c r="I222" s="177" t="s">
        <v>31</v>
      </c>
      <c r="J222" s="244">
        <v>0</v>
      </c>
      <c r="K222" s="244">
        <v>0</v>
      </c>
      <c r="L222" s="244">
        <v>0</v>
      </c>
      <c r="M222" s="244">
        <v>0</v>
      </c>
      <c r="N222" s="244">
        <v>0</v>
      </c>
      <c r="O222" s="244">
        <v>0</v>
      </c>
      <c r="P222" s="187"/>
      <c r="Q222" s="187"/>
      <c r="R222" s="187"/>
      <c r="S222" s="187"/>
      <c r="T222" s="187"/>
      <c r="U222" s="187"/>
      <c r="V222" s="187"/>
      <c r="W222" s="187"/>
    </row>
    <row r="223" spans="1:23" s="164" customFormat="1" ht="66" customHeight="1" x14ac:dyDescent="0.3">
      <c r="A223" s="172"/>
      <c r="B223" s="380"/>
      <c r="C223" s="220" t="s">
        <v>460</v>
      </c>
      <c r="D223" s="272" t="s">
        <v>445</v>
      </c>
      <c r="E223" s="263" t="s">
        <v>461</v>
      </c>
      <c r="F223" s="177" t="s">
        <v>20</v>
      </c>
      <c r="G223" s="177" t="s">
        <v>110</v>
      </c>
      <c r="H223" s="177" t="s">
        <v>462</v>
      </c>
      <c r="I223" s="177" t="s">
        <v>31</v>
      </c>
      <c r="J223" s="244">
        <v>0</v>
      </c>
      <c r="K223" s="244">
        <v>0</v>
      </c>
      <c r="L223" s="244">
        <v>0</v>
      </c>
      <c r="M223" s="244">
        <v>0</v>
      </c>
      <c r="N223" s="244">
        <v>0</v>
      </c>
      <c r="O223" s="244">
        <v>0</v>
      </c>
      <c r="P223" s="169"/>
      <c r="Q223" s="169"/>
      <c r="R223" s="169"/>
      <c r="S223" s="169"/>
      <c r="T223" s="169"/>
      <c r="U223" s="169"/>
      <c r="V223" s="169"/>
      <c r="W223" s="169"/>
    </row>
    <row r="224" spans="1:23" s="164" customFormat="1" ht="126.75" customHeight="1" x14ac:dyDescent="0.3">
      <c r="A224" s="172"/>
      <c r="B224" s="274"/>
      <c r="C224" s="220" t="s">
        <v>463</v>
      </c>
      <c r="D224" s="147" t="s">
        <v>455</v>
      </c>
      <c r="E224" s="263" t="s">
        <v>464</v>
      </c>
      <c r="F224" s="177" t="s">
        <v>20</v>
      </c>
      <c r="G224" s="177" t="s">
        <v>220</v>
      </c>
      <c r="H224" s="177" t="s">
        <v>462</v>
      </c>
      <c r="I224" s="177" t="s">
        <v>31</v>
      </c>
      <c r="J224" s="275">
        <v>71.62</v>
      </c>
      <c r="K224" s="275">
        <v>71.61</v>
      </c>
      <c r="L224" s="275">
        <v>0</v>
      </c>
      <c r="M224" s="275">
        <v>100.9</v>
      </c>
      <c r="N224" s="275">
        <v>105.1</v>
      </c>
      <c r="O224" s="275">
        <v>213.6</v>
      </c>
      <c r="P224" s="169"/>
      <c r="Q224" s="169"/>
      <c r="R224" s="169"/>
      <c r="S224" s="169"/>
      <c r="T224" s="169"/>
      <c r="U224" s="169"/>
      <c r="V224" s="169"/>
      <c r="W224" s="169"/>
    </row>
    <row r="225" spans="1:23" s="112" customFormat="1" ht="57.6" customHeight="1" x14ac:dyDescent="0.3">
      <c r="A225" s="276"/>
      <c r="B225" s="410" t="s">
        <v>465</v>
      </c>
      <c r="C225" s="411"/>
      <c r="D225" s="411"/>
      <c r="E225" s="411"/>
      <c r="F225" s="411"/>
      <c r="G225" s="411"/>
      <c r="H225" s="411"/>
      <c r="I225" s="411"/>
      <c r="J225" s="411"/>
      <c r="K225" s="411"/>
      <c r="L225" s="411"/>
      <c r="M225" s="411"/>
      <c r="N225" s="411"/>
      <c r="O225" s="411"/>
      <c r="P225" s="111"/>
      <c r="Q225" s="111"/>
      <c r="R225" s="111"/>
      <c r="S225" s="111"/>
      <c r="T225" s="111"/>
      <c r="U225" s="111"/>
      <c r="V225" s="111"/>
      <c r="W225" s="111"/>
    </row>
    <row r="226" spans="1:23" s="112" customFormat="1" ht="24.6" customHeight="1" x14ac:dyDescent="0.3">
      <c r="A226" s="277"/>
      <c r="B226" s="405" t="s">
        <v>466</v>
      </c>
      <c r="C226" s="406"/>
      <c r="D226" s="406"/>
      <c r="E226" s="406"/>
      <c r="F226" s="406"/>
      <c r="G226" s="406"/>
      <c r="H226" s="406"/>
      <c r="I226" s="406"/>
      <c r="J226" s="406"/>
      <c r="K226" s="406"/>
      <c r="L226" s="406"/>
      <c r="M226" s="406"/>
      <c r="N226" s="406"/>
      <c r="O226" s="406"/>
      <c r="P226" s="111"/>
      <c r="Q226" s="111"/>
      <c r="R226" s="111"/>
      <c r="S226" s="111"/>
      <c r="T226" s="111"/>
      <c r="U226" s="111"/>
      <c r="V226" s="111"/>
      <c r="W226" s="111"/>
    </row>
    <row r="227" spans="1:23" s="190" customFormat="1" ht="78.599999999999994" customHeight="1" x14ac:dyDescent="0.3">
      <c r="A227" s="379">
        <v>902</v>
      </c>
      <c r="B227" s="407" t="s">
        <v>467</v>
      </c>
      <c r="C227" s="176" t="s">
        <v>468</v>
      </c>
      <c r="D227" s="125" t="s">
        <v>469</v>
      </c>
      <c r="E227" s="251" t="s">
        <v>470</v>
      </c>
      <c r="F227" s="278"/>
      <c r="G227" s="278"/>
      <c r="H227" s="278"/>
      <c r="I227" s="278"/>
      <c r="J227" s="279">
        <f>J228</f>
        <v>6651.69</v>
      </c>
      <c r="K227" s="279">
        <f t="shared" ref="K227:O227" si="52">K228</f>
        <v>6651.69</v>
      </c>
      <c r="L227" s="279">
        <f>L228</f>
        <v>24475.58</v>
      </c>
      <c r="M227" s="279">
        <f t="shared" si="52"/>
        <v>19671.400000000001</v>
      </c>
      <c r="N227" s="279">
        <f t="shared" si="52"/>
        <v>7595.2</v>
      </c>
      <c r="O227" s="279">
        <f t="shared" si="52"/>
        <v>7906.6</v>
      </c>
      <c r="P227" s="189"/>
      <c r="Q227" s="189"/>
      <c r="R227" s="189"/>
      <c r="S227" s="189"/>
      <c r="T227" s="189"/>
      <c r="U227" s="189"/>
      <c r="V227" s="189"/>
      <c r="W227" s="189"/>
    </row>
    <row r="228" spans="1:23" s="74" customFormat="1" ht="96" customHeight="1" x14ac:dyDescent="0.3">
      <c r="A228" s="372"/>
      <c r="B228" s="408"/>
      <c r="C228" s="93" t="s">
        <v>471</v>
      </c>
      <c r="D228" s="93" t="s">
        <v>99</v>
      </c>
      <c r="E228" s="93" t="s">
        <v>472</v>
      </c>
      <c r="F228" s="191" t="s">
        <v>220</v>
      </c>
      <c r="G228" s="191" t="s">
        <v>473</v>
      </c>
      <c r="H228" s="191"/>
      <c r="I228" s="191"/>
      <c r="J228" s="71">
        <f>SUM(J229:J232)</f>
        <v>6651.69</v>
      </c>
      <c r="K228" s="71">
        <f t="shared" ref="K228:O228" si="53">SUM(K229:K232)</f>
        <v>6651.69</v>
      </c>
      <c r="L228" s="71">
        <f>SUM(L229:L232)</f>
        <v>24475.58</v>
      </c>
      <c r="M228" s="71">
        <f t="shared" si="53"/>
        <v>19671.400000000001</v>
      </c>
      <c r="N228" s="71">
        <f t="shared" si="53"/>
        <v>7595.2</v>
      </c>
      <c r="O228" s="71">
        <f t="shared" si="53"/>
        <v>7906.6</v>
      </c>
      <c r="P228" s="73"/>
      <c r="Q228" s="73"/>
      <c r="R228" s="73"/>
      <c r="S228" s="73"/>
      <c r="T228" s="73"/>
      <c r="U228" s="73"/>
      <c r="V228" s="73"/>
      <c r="W228" s="73"/>
    </row>
    <row r="229" spans="1:23" s="74" customFormat="1" ht="67.5" customHeight="1" x14ac:dyDescent="0.3">
      <c r="A229" s="372"/>
      <c r="B229" s="408"/>
      <c r="C229" s="137" t="s">
        <v>474</v>
      </c>
      <c r="D229" s="137"/>
      <c r="E229" s="137"/>
      <c r="F229" s="192" t="s">
        <v>220</v>
      </c>
      <c r="G229" s="192" t="s">
        <v>19</v>
      </c>
      <c r="H229" s="192" t="s">
        <v>475</v>
      </c>
      <c r="I229" s="192" t="s">
        <v>476</v>
      </c>
      <c r="J229" s="78">
        <v>0</v>
      </c>
      <c r="K229" s="78">
        <v>0</v>
      </c>
      <c r="L229" s="78">
        <v>0</v>
      </c>
      <c r="M229" s="78">
        <v>0</v>
      </c>
      <c r="N229" s="78">
        <v>0</v>
      </c>
      <c r="O229" s="78">
        <v>0</v>
      </c>
      <c r="P229" s="73"/>
      <c r="Q229" s="73"/>
      <c r="R229" s="73"/>
      <c r="S229" s="73"/>
      <c r="T229" s="73"/>
      <c r="U229" s="73"/>
      <c r="V229" s="73"/>
      <c r="W229" s="73"/>
    </row>
    <row r="230" spans="1:23" s="74" customFormat="1" ht="67.5" customHeight="1" x14ac:dyDescent="0.3">
      <c r="A230" s="372"/>
      <c r="B230" s="408"/>
      <c r="C230" s="193" t="s">
        <v>477</v>
      </c>
      <c r="D230" s="193"/>
      <c r="E230" s="137" t="s">
        <v>478</v>
      </c>
      <c r="F230" s="194" t="s">
        <v>220</v>
      </c>
      <c r="G230" s="192" t="s">
        <v>19</v>
      </c>
      <c r="H230" s="192" t="s">
        <v>479</v>
      </c>
      <c r="I230" s="192" t="s">
        <v>476</v>
      </c>
      <c r="J230" s="78">
        <v>6651.69</v>
      </c>
      <c r="K230" s="78">
        <v>6651.69</v>
      </c>
      <c r="L230" s="78">
        <v>7590.25</v>
      </c>
      <c r="M230" s="78">
        <v>7760.2</v>
      </c>
      <c r="N230" s="78">
        <v>7595.2</v>
      </c>
      <c r="O230" s="78">
        <v>7906.6</v>
      </c>
      <c r="P230" s="73"/>
      <c r="Q230" s="73"/>
      <c r="R230" s="73"/>
      <c r="S230" s="73"/>
      <c r="T230" s="73"/>
      <c r="U230" s="73"/>
      <c r="V230" s="73"/>
      <c r="W230" s="73"/>
    </row>
    <row r="231" spans="1:23" s="74" customFormat="1" ht="63.75" customHeight="1" x14ac:dyDescent="0.3">
      <c r="A231" s="179"/>
      <c r="B231" s="280"/>
      <c r="C231" s="193" t="s">
        <v>480</v>
      </c>
      <c r="D231" s="193"/>
      <c r="E231" s="137" t="s">
        <v>478</v>
      </c>
      <c r="F231" s="194" t="s">
        <v>220</v>
      </c>
      <c r="G231" s="192" t="s">
        <v>20</v>
      </c>
      <c r="H231" s="192" t="s">
        <v>481</v>
      </c>
      <c r="I231" s="192" t="s">
        <v>482</v>
      </c>
      <c r="J231" s="78">
        <v>0</v>
      </c>
      <c r="K231" s="78">
        <v>0</v>
      </c>
      <c r="L231" s="78">
        <v>1485.33</v>
      </c>
      <c r="M231" s="78">
        <v>1911.2</v>
      </c>
      <c r="N231" s="78">
        <v>0</v>
      </c>
      <c r="O231" s="78">
        <v>0</v>
      </c>
      <c r="P231" s="73"/>
      <c r="Q231" s="73"/>
      <c r="R231" s="73"/>
      <c r="S231" s="73"/>
      <c r="T231" s="73"/>
      <c r="U231" s="73"/>
      <c r="V231" s="73"/>
      <c r="W231" s="73"/>
    </row>
    <row r="232" spans="1:23" s="199" customFormat="1" ht="48.75" customHeight="1" x14ac:dyDescent="0.3">
      <c r="A232" s="281"/>
      <c r="B232" s="282"/>
      <c r="C232" s="137" t="s">
        <v>483</v>
      </c>
      <c r="D232" s="137" t="s">
        <v>484</v>
      </c>
      <c r="E232" s="195" t="s">
        <v>197</v>
      </c>
      <c r="F232" s="196">
        <v>10</v>
      </c>
      <c r="G232" s="197" t="s">
        <v>20</v>
      </c>
      <c r="H232" s="197" t="s">
        <v>485</v>
      </c>
      <c r="I232" s="196">
        <v>313</v>
      </c>
      <c r="J232" s="198">
        <v>0</v>
      </c>
      <c r="K232" s="198">
        <v>0</v>
      </c>
      <c r="L232" s="198">
        <v>15400</v>
      </c>
      <c r="M232" s="198">
        <v>10000</v>
      </c>
      <c r="N232" s="198">
        <v>0</v>
      </c>
      <c r="O232" s="198">
        <v>0</v>
      </c>
    </row>
    <row r="233" spans="1:23" s="112" customFormat="1" ht="56.25" customHeight="1" x14ac:dyDescent="0.3">
      <c r="A233" s="276"/>
      <c r="B233" s="406" t="s">
        <v>486</v>
      </c>
      <c r="C233" s="406"/>
      <c r="D233" s="406"/>
      <c r="E233" s="406"/>
      <c r="F233" s="406"/>
      <c r="G233" s="406"/>
      <c r="H233" s="406"/>
      <c r="I233" s="406"/>
      <c r="J233" s="406"/>
      <c r="K233" s="406"/>
      <c r="L233" s="406"/>
      <c r="M233" s="406"/>
      <c r="N233" s="406"/>
      <c r="O233" s="406"/>
      <c r="P233" s="111"/>
      <c r="Q233" s="111"/>
      <c r="R233" s="111"/>
      <c r="S233" s="111"/>
      <c r="T233" s="111"/>
      <c r="U233" s="111"/>
      <c r="V233" s="111"/>
      <c r="W233" s="111"/>
    </row>
    <row r="234" spans="1:23" s="64" customFormat="1" ht="20.25" x14ac:dyDescent="0.3">
      <c r="A234" s="409" t="s">
        <v>487</v>
      </c>
      <c r="B234" s="402"/>
      <c r="C234" s="402"/>
      <c r="D234" s="402"/>
      <c r="E234" s="402"/>
      <c r="F234" s="402"/>
      <c r="G234" s="402"/>
      <c r="H234" s="402"/>
      <c r="I234" s="403"/>
      <c r="J234" s="71">
        <f t="shared" ref="J234:O234" si="54">J235+J236+J240+J244</f>
        <v>96491.96</v>
      </c>
      <c r="K234" s="71">
        <f t="shared" si="54"/>
        <v>96479.73</v>
      </c>
      <c r="L234" s="71">
        <f t="shared" si="54"/>
        <v>25698.3</v>
      </c>
      <c r="M234" s="71">
        <f t="shared" si="54"/>
        <v>7.8</v>
      </c>
      <c r="N234" s="71">
        <f t="shared" si="54"/>
        <v>111</v>
      </c>
      <c r="O234" s="71">
        <f t="shared" si="54"/>
        <v>11.8</v>
      </c>
      <c r="P234" s="63"/>
      <c r="Q234" s="63"/>
      <c r="R234" s="63"/>
      <c r="S234" s="63"/>
      <c r="T234" s="63"/>
      <c r="U234" s="63"/>
      <c r="V234" s="63"/>
      <c r="W234" s="63"/>
    </row>
    <row r="235" spans="1:23" s="200" customFormat="1" ht="129.75" customHeight="1" x14ac:dyDescent="0.3">
      <c r="A235" s="283">
        <v>902</v>
      </c>
      <c r="B235" s="283" t="s">
        <v>488</v>
      </c>
      <c r="C235" s="115" t="s">
        <v>489</v>
      </c>
      <c r="D235" s="147" t="s">
        <v>455</v>
      </c>
      <c r="E235" s="142" t="s">
        <v>490</v>
      </c>
      <c r="F235" s="191" t="s">
        <v>19</v>
      </c>
      <c r="G235" s="191" t="s">
        <v>125</v>
      </c>
      <c r="H235" s="191" t="s">
        <v>491</v>
      </c>
      <c r="I235" s="191" t="s">
        <v>31</v>
      </c>
      <c r="J235" s="71">
        <v>25.3</v>
      </c>
      <c r="K235" s="71">
        <v>16</v>
      </c>
      <c r="L235" s="71">
        <v>11.1</v>
      </c>
      <c r="M235" s="71">
        <v>7.8</v>
      </c>
      <c r="N235" s="71">
        <v>111</v>
      </c>
      <c r="O235" s="71">
        <v>11.8</v>
      </c>
      <c r="P235" s="73"/>
      <c r="Q235" s="73"/>
      <c r="R235" s="73"/>
      <c r="S235" s="73"/>
      <c r="T235" s="73"/>
      <c r="U235" s="73"/>
      <c r="V235" s="73"/>
      <c r="W235" s="73"/>
    </row>
    <row r="236" spans="1:23" s="200" customFormat="1" ht="116.25" customHeight="1" x14ac:dyDescent="0.3">
      <c r="A236" s="404">
        <v>902</v>
      </c>
      <c r="B236" s="400" t="s">
        <v>492</v>
      </c>
      <c r="C236" s="284" t="s">
        <v>493</v>
      </c>
      <c r="D236" s="226" t="s">
        <v>494</v>
      </c>
      <c r="E236" s="142" t="s">
        <v>495</v>
      </c>
      <c r="F236" s="191" t="s">
        <v>220</v>
      </c>
      <c r="G236" s="191" t="s">
        <v>72</v>
      </c>
      <c r="H236" s="191"/>
      <c r="I236" s="191"/>
      <c r="J236" s="71">
        <f>SUM(J237:J239)</f>
        <v>96466.66</v>
      </c>
      <c r="K236" s="71">
        <f t="shared" ref="K236:O236" si="55">SUM(K237:K239)</f>
        <v>96463.73</v>
      </c>
      <c r="L236" s="71">
        <f t="shared" si="55"/>
        <v>25687.200000000001</v>
      </c>
      <c r="M236" s="71">
        <f t="shared" si="55"/>
        <v>0</v>
      </c>
      <c r="N236" s="71">
        <f t="shared" si="55"/>
        <v>0</v>
      </c>
      <c r="O236" s="71">
        <f t="shared" si="55"/>
        <v>0</v>
      </c>
      <c r="P236" s="73"/>
      <c r="Q236" s="72"/>
      <c r="R236" s="72"/>
      <c r="S236" s="72"/>
      <c r="T236" s="72"/>
      <c r="U236" s="72"/>
      <c r="V236" s="73"/>
      <c r="W236" s="73"/>
    </row>
    <row r="237" spans="1:23" s="204" customFormat="1" ht="38.25" customHeight="1" x14ac:dyDescent="0.3">
      <c r="A237" s="404"/>
      <c r="B237" s="400"/>
      <c r="C237" s="201" t="s">
        <v>496</v>
      </c>
      <c r="D237" s="99"/>
      <c r="E237" s="82" t="s">
        <v>197</v>
      </c>
      <c r="F237" s="192"/>
      <c r="G237" s="192"/>
      <c r="H237" s="192" t="s">
        <v>497</v>
      </c>
      <c r="I237" s="192" t="s">
        <v>149</v>
      </c>
      <c r="J237" s="78">
        <v>0</v>
      </c>
      <c r="K237" s="78">
        <v>0</v>
      </c>
      <c r="L237" s="78">
        <v>25687.200000000001</v>
      </c>
      <c r="M237" s="78">
        <v>0</v>
      </c>
      <c r="N237" s="78">
        <v>0</v>
      </c>
      <c r="O237" s="78">
        <v>0</v>
      </c>
      <c r="P237" s="202"/>
      <c r="Q237" s="203"/>
      <c r="R237" s="203"/>
      <c r="S237" s="203"/>
      <c r="T237" s="203"/>
      <c r="U237" s="203"/>
      <c r="V237" s="202"/>
      <c r="W237" s="202"/>
    </row>
    <row r="238" spans="1:23" s="200" customFormat="1" ht="46.5" customHeight="1" x14ac:dyDescent="0.3">
      <c r="A238" s="404"/>
      <c r="B238" s="400"/>
      <c r="C238" s="201" t="s">
        <v>498</v>
      </c>
      <c r="D238" s="81" t="s">
        <v>499</v>
      </c>
      <c r="E238" s="80" t="s">
        <v>500</v>
      </c>
      <c r="F238" s="192"/>
      <c r="G238" s="192"/>
      <c r="H238" s="192" t="s">
        <v>501</v>
      </c>
      <c r="I238" s="192"/>
      <c r="J238" s="78">
        <v>94.16</v>
      </c>
      <c r="K238" s="78">
        <v>91.23</v>
      </c>
      <c r="L238" s="78">
        <v>0</v>
      </c>
      <c r="M238" s="78">
        <v>0</v>
      </c>
      <c r="N238" s="78">
        <v>0</v>
      </c>
      <c r="O238" s="78">
        <v>0</v>
      </c>
      <c r="P238" s="73"/>
      <c r="Q238" s="73"/>
      <c r="R238" s="73"/>
      <c r="S238" s="73"/>
      <c r="T238" s="73"/>
      <c r="U238" s="73"/>
      <c r="V238" s="73"/>
      <c r="W238" s="73"/>
    </row>
    <row r="239" spans="1:23" s="200" customFormat="1" ht="70.150000000000006" customHeight="1" x14ac:dyDescent="0.3">
      <c r="A239" s="404"/>
      <c r="B239" s="400"/>
      <c r="C239" s="201" t="s">
        <v>498</v>
      </c>
      <c r="D239" s="81" t="s">
        <v>502</v>
      </c>
      <c r="E239" s="80" t="s">
        <v>503</v>
      </c>
      <c r="F239" s="192"/>
      <c r="G239" s="192"/>
      <c r="H239" s="192" t="s">
        <v>501</v>
      </c>
      <c r="I239" s="205" t="s">
        <v>149</v>
      </c>
      <c r="J239" s="78">
        <v>96372.5</v>
      </c>
      <c r="K239" s="78">
        <v>96372.5</v>
      </c>
      <c r="L239" s="78">
        <v>0</v>
      </c>
      <c r="M239" s="78">
        <v>0</v>
      </c>
      <c r="N239" s="78">
        <v>0</v>
      </c>
      <c r="O239" s="78">
        <v>0</v>
      </c>
      <c r="P239" s="160"/>
      <c r="Q239" s="73"/>
      <c r="R239" s="73"/>
      <c r="S239" s="73"/>
      <c r="T239" s="73"/>
      <c r="U239" s="73"/>
      <c r="V239" s="73"/>
      <c r="W239" s="73"/>
    </row>
    <row r="240" spans="1:23" s="200" customFormat="1" ht="72" customHeight="1" x14ac:dyDescent="0.3">
      <c r="A240" s="379">
        <v>902</v>
      </c>
      <c r="B240" s="378" t="s">
        <v>504</v>
      </c>
      <c r="C240" s="159" t="s">
        <v>505</v>
      </c>
      <c r="D240" s="87"/>
      <c r="E240" s="80" t="s">
        <v>506</v>
      </c>
      <c r="F240" s="192" t="s">
        <v>125</v>
      </c>
      <c r="G240" s="192" t="s">
        <v>19</v>
      </c>
      <c r="H240" s="192"/>
      <c r="I240" s="192"/>
      <c r="J240" s="78">
        <f>J241+J242+J243</f>
        <v>0</v>
      </c>
      <c r="K240" s="78">
        <f t="shared" ref="K240:O240" si="56">K241+K242+K243</f>
        <v>0</v>
      </c>
      <c r="L240" s="78">
        <f t="shared" si="56"/>
        <v>0</v>
      </c>
      <c r="M240" s="78">
        <f t="shared" si="56"/>
        <v>0</v>
      </c>
      <c r="N240" s="78">
        <f t="shared" si="56"/>
        <v>0</v>
      </c>
      <c r="O240" s="78">
        <f t="shared" si="56"/>
        <v>0</v>
      </c>
      <c r="P240" s="160"/>
      <c r="Q240" s="73"/>
      <c r="R240" s="73"/>
      <c r="S240" s="73"/>
      <c r="T240" s="73"/>
      <c r="U240" s="73"/>
      <c r="V240" s="73"/>
      <c r="W240" s="73"/>
    </row>
    <row r="241" spans="1:23" s="200" customFormat="1" ht="29.25" customHeight="1" x14ac:dyDescent="0.3">
      <c r="A241" s="372"/>
      <c r="B241" s="373"/>
      <c r="C241" s="159"/>
      <c r="D241" s="87"/>
      <c r="E241" s="80"/>
      <c r="F241" s="192"/>
      <c r="G241" s="192"/>
      <c r="H241" s="192" t="s">
        <v>507</v>
      </c>
      <c r="I241" s="192" t="s">
        <v>149</v>
      </c>
      <c r="J241" s="78"/>
      <c r="K241" s="78"/>
      <c r="L241" s="78">
        <v>0</v>
      </c>
      <c r="M241" s="78">
        <v>0</v>
      </c>
      <c r="N241" s="78">
        <v>0</v>
      </c>
      <c r="O241" s="78">
        <v>0</v>
      </c>
      <c r="P241" s="160"/>
      <c r="Q241" s="73"/>
      <c r="R241" s="73"/>
      <c r="S241" s="73"/>
      <c r="T241" s="73"/>
      <c r="U241" s="73"/>
      <c r="V241" s="73"/>
      <c r="W241" s="73"/>
    </row>
    <row r="242" spans="1:23" s="200" customFormat="1" ht="29.25" customHeight="1" x14ac:dyDescent="0.3">
      <c r="A242" s="372"/>
      <c r="B242" s="373"/>
      <c r="C242" s="159"/>
      <c r="D242" s="87"/>
      <c r="E242" s="80"/>
      <c r="F242" s="192"/>
      <c r="G242" s="192"/>
      <c r="H242" s="192" t="s">
        <v>508</v>
      </c>
      <c r="I242" s="192" t="s">
        <v>149</v>
      </c>
      <c r="J242" s="78"/>
      <c r="K242" s="78"/>
      <c r="L242" s="78">
        <v>0</v>
      </c>
      <c r="M242" s="78">
        <v>0</v>
      </c>
      <c r="N242" s="78">
        <v>0</v>
      </c>
      <c r="O242" s="78">
        <v>0</v>
      </c>
      <c r="P242" s="160"/>
      <c r="Q242" s="73"/>
      <c r="R242" s="73"/>
      <c r="S242" s="73"/>
      <c r="T242" s="73"/>
      <c r="U242" s="73"/>
      <c r="V242" s="73"/>
      <c r="W242" s="73"/>
    </row>
    <row r="243" spans="1:23" s="200" customFormat="1" ht="29.25" customHeight="1" x14ac:dyDescent="0.3">
      <c r="A243" s="372"/>
      <c r="B243" s="374"/>
      <c r="C243" s="159"/>
      <c r="D243" s="87"/>
      <c r="E243" s="80"/>
      <c r="F243" s="192"/>
      <c r="G243" s="192"/>
      <c r="H243" s="192" t="s">
        <v>508</v>
      </c>
      <c r="I243" s="192" t="s">
        <v>149</v>
      </c>
      <c r="J243" s="78"/>
      <c r="K243" s="78"/>
      <c r="L243" s="78">
        <v>0</v>
      </c>
      <c r="M243" s="78">
        <v>0</v>
      </c>
      <c r="N243" s="78">
        <v>0</v>
      </c>
      <c r="O243" s="78">
        <v>0</v>
      </c>
      <c r="P243" s="160"/>
      <c r="Q243" s="73"/>
      <c r="R243" s="73"/>
      <c r="S243" s="73"/>
      <c r="T243" s="73"/>
      <c r="U243" s="73"/>
      <c r="V243" s="73"/>
      <c r="W243" s="73"/>
    </row>
    <row r="244" spans="1:23" s="200" customFormat="1" ht="104.25" customHeight="1" x14ac:dyDescent="0.3">
      <c r="A244" s="379">
        <v>902</v>
      </c>
      <c r="B244" s="378" t="s">
        <v>509</v>
      </c>
      <c r="C244" s="159" t="s">
        <v>510</v>
      </c>
      <c r="D244" s="87"/>
      <c r="E244" s="80" t="s">
        <v>511</v>
      </c>
      <c r="F244" s="192" t="s">
        <v>19</v>
      </c>
      <c r="G244" s="192" t="s">
        <v>134</v>
      </c>
      <c r="H244" s="192" t="s">
        <v>512</v>
      </c>
      <c r="I244" s="192"/>
      <c r="J244" s="78">
        <f t="shared" ref="J244:O244" si="57">J245+J246</f>
        <v>0</v>
      </c>
      <c r="K244" s="78">
        <f t="shared" si="57"/>
        <v>0</v>
      </c>
      <c r="L244" s="78">
        <f t="shared" si="57"/>
        <v>0</v>
      </c>
      <c r="M244" s="78">
        <f t="shared" si="57"/>
        <v>0</v>
      </c>
      <c r="N244" s="78">
        <f t="shared" si="57"/>
        <v>0</v>
      </c>
      <c r="O244" s="78">
        <f t="shared" si="57"/>
        <v>0</v>
      </c>
      <c r="P244" s="160"/>
      <c r="Q244" s="73"/>
      <c r="R244" s="73"/>
      <c r="S244" s="73"/>
      <c r="T244" s="73"/>
      <c r="U244" s="73"/>
      <c r="V244" s="73"/>
      <c r="W244" s="73"/>
    </row>
    <row r="245" spans="1:23" s="200" customFormat="1" ht="32.25" customHeight="1" x14ac:dyDescent="0.3">
      <c r="A245" s="372"/>
      <c r="B245" s="373"/>
      <c r="C245" s="159"/>
      <c r="D245" s="87"/>
      <c r="E245" s="80"/>
      <c r="F245" s="192"/>
      <c r="G245" s="192"/>
      <c r="H245" s="192"/>
      <c r="I245" s="192" t="s">
        <v>31</v>
      </c>
      <c r="J245" s="78"/>
      <c r="K245" s="78"/>
      <c r="L245" s="78">
        <v>0</v>
      </c>
      <c r="M245" s="78">
        <v>0</v>
      </c>
      <c r="N245" s="78">
        <v>0</v>
      </c>
      <c r="O245" s="78">
        <v>0</v>
      </c>
      <c r="P245" s="160"/>
      <c r="Q245" s="73"/>
      <c r="R245" s="73"/>
      <c r="S245" s="73"/>
      <c r="T245" s="73"/>
      <c r="U245" s="73"/>
      <c r="V245" s="73"/>
      <c r="W245" s="73"/>
    </row>
    <row r="246" spans="1:23" s="200" customFormat="1" ht="32.25" customHeight="1" x14ac:dyDescent="0.3">
      <c r="A246" s="380"/>
      <c r="B246" s="374"/>
      <c r="C246" s="159"/>
      <c r="D246" s="87"/>
      <c r="E246" s="80"/>
      <c r="F246" s="192"/>
      <c r="G246" s="192"/>
      <c r="H246" s="192"/>
      <c r="I246" s="192" t="s">
        <v>87</v>
      </c>
      <c r="J246" s="78"/>
      <c r="K246" s="78"/>
      <c r="L246" s="78">
        <v>0</v>
      </c>
      <c r="M246" s="78">
        <v>0</v>
      </c>
      <c r="N246" s="78">
        <v>0</v>
      </c>
      <c r="O246" s="78">
        <v>0</v>
      </c>
      <c r="P246" s="160"/>
      <c r="Q246" s="73"/>
      <c r="R246" s="73"/>
      <c r="S246" s="73"/>
      <c r="T246" s="73"/>
      <c r="U246" s="73"/>
      <c r="V246" s="73"/>
      <c r="W246" s="73"/>
    </row>
    <row r="247" spans="1:23" s="207" customFormat="1" ht="18" customHeight="1" x14ac:dyDescent="0.3">
      <c r="A247" s="401" t="s">
        <v>513</v>
      </c>
      <c r="B247" s="402"/>
      <c r="C247" s="402"/>
      <c r="D247" s="402"/>
      <c r="E247" s="402"/>
      <c r="F247" s="402"/>
      <c r="G247" s="402"/>
      <c r="H247" s="402"/>
      <c r="I247" s="403"/>
      <c r="J247" s="230">
        <f>J248+J253+J256+J258+J268+J282+J291+J295+J300+J304+J309+J311+J312+J317+J322+J330+J254+J255</f>
        <v>53671.39</v>
      </c>
      <c r="K247" s="230">
        <f t="shared" ref="K247" si="58">K248+K253+K256+K258+K268+K282+K291+K295+K300+K304+K309+K311+K312+K317+K322+K330+K254+K255</f>
        <v>53086.490000000005</v>
      </c>
      <c r="L247" s="230">
        <f>L248+L253+L256+L258+L268+L282+L291+L295+L300+L304+L309+L311+L312+L317+L322+L330+L254+L255+L263+L273+L287+L326</f>
        <v>153776.35999999999</v>
      </c>
      <c r="M247" s="230">
        <f>M248+M253+M256+M258+M263+M268+M273+M282+M287+M291+M295+M300+M304+M309+M311+M312+M317+M319+M322+M326+M330+M254+M255+M278</f>
        <v>184813.9</v>
      </c>
      <c r="N247" s="230">
        <f t="shared" ref="N247:O247" si="59">N248+N253+N256+N258+N263+N268+N273+N282+N287+N291+N295+N300+N304+N309+N311+N312+N317+N319+N322+N326+N330+N254+N255+N278</f>
        <v>162120.20000000001</v>
      </c>
      <c r="O247" s="230">
        <f t="shared" si="59"/>
        <v>163871.20000000001</v>
      </c>
      <c r="P247" s="206"/>
      <c r="Q247" s="206"/>
      <c r="R247" s="206"/>
      <c r="S247" s="206"/>
      <c r="T247" s="206"/>
      <c r="U247" s="206"/>
      <c r="V247" s="206"/>
      <c r="W247" s="206"/>
    </row>
    <row r="248" spans="1:23" s="209" customFormat="1" ht="119.25" customHeight="1" x14ac:dyDescent="0.3">
      <c r="A248" s="379">
        <v>902</v>
      </c>
      <c r="B248" s="378" t="s">
        <v>514</v>
      </c>
      <c r="C248" s="225" t="s">
        <v>515</v>
      </c>
      <c r="D248" s="142" t="s">
        <v>516</v>
      </c>
      <c r="E248" s="142" t="s">
        <v>517</v>
      </c>
      <c r="F248" s="191" t="s">
        <v>19</v>
      </c>
      <c r="G248" s="191" t="s">
        <v>72</v>
      </c>
      <c r="H248" s="191" t="s">
        <v>518</v>
      </c>
      <c r="I248" s="192"/>
      <c r="J248" s="230">
        <f>J249+J250+J251+J252</f>
        <v>1460</v>
      </c>
      <c r="K248" s="230">
        <f t="shared" ref="K248:O248" si="60">K249+K250+K251+K252</f>
        <v>1452.6</v>
      </c>
      <c r="L248" s="230">
        <f t="shared" si="60"/>
        <v>1511.99</v>
      </c>
      <c r="M248" s="230">
        <f t="shared" si="60"/>
        <v>1968.8</v>
      </c>
      <c r="N248" s="230">
        <f t="shared" si="60"/>
        <v>1791.4</v>
      </c>
      <c r="O248" s="230">
        <f t="shared" si="60"/>
        <v>1791.4</v>
      </c>
      <c r="P248" s="208"/>
      <c r="Q248" s="206"/>
      <c r="R248" s="206"/>
      <c r="S248" s="206"/>
      <c r="T248" s="206"/>
      <c r="U248" s="206"/>
      <c r="V248" s="206"/>
      <c r="W248" s="206"/>
    </row>
    <row r="249" spans="1:23" s="112" customFormat="1" ht="123" customHeight="1" x14ac:dyDescent="0.3">
      <c r="A249" s="372"/>
      <c r="B249" s="389"/>
      <c r="C249" s="82" t="s">
        <v>111</v>
      </c>
      <c r="D249" s="86" t="s">
        <v>99</v>
      </c>
      <c r="E249" s="82" t="s">
        <v>112</v>
      </c>
      <c r="F249" s="191"/>
      <c r="G249" s="191"/>
      <c r="H249" s="192"/>
      <c r="I249" s="192" t="s">
        <v>26</v>
      </c>
      <c r="J249" s="224">
        <v>1002</v>
      </c>
      <c r="K249" s="224">
        <v>994.6</v>
      </c>
      <c r="L249" s="224">
        <v>1047.45</v>
      </c>
      <c r="M249" s="224">
        <v>1266.0999999999999</v>
      </c>
      <c r="N249" s="224">
        <v>1088.7</v>
      </c>
      <c r="O249" s="224">
        <v>1088.7</v>
      </c>
      <c r="P249" s="111"/>
      <c r="Q249" s="111"/>
      <c r="R249" s="111"/>
      <c r="S249" s="111"/>
      <c r="T249" s="111"/>
      <c r="U249" s="111"/>
      <c r="V249" s="111"/>
      <c r="W249" s="111"/>
    </row>
    <row r="250" spans="1:23" s="112" customFormat="1" ht="111.75" customHeight="1" x14ac:dyDescent="0.3">
      <c r="A250" s="372"/>
      <c r="B250" s="389"/>
      <c r="C250" s="76" t="s">
        <v>519</v>
      </c>
      <c r="D250" s="81" t="s">
        <v>65</v>
      </c>
      <c r="E250" s="82" t="s">
        <v>107</v>
      </c>
      <c r="F250" s="191"/>
      <c r="G250" s="191"/>
      <c r="H250" s="192"/>
      <c r="I250" s="192" t="s">
        <v>28</v>
      </c>
      <c r="J250" s="308">
        <v>0</v>
      </c>
      <c r="K250" s="308">
        <v>0</v>
      </c>
      <c r="L250" s="308">
        <v>0</v>
      </c>
      <c r="M250" s="308">
        <v>0</v>
      </c>
      <c r="N250" s="308">
        <v>0</v>
      </c>
      <c r="O250" s="308">
        <v>0</v>
      </c>
      <c r="P250" s="111"/>
      <c r="Q250" s="111"/>
      <c r="R250" s="111"/>
      <c r="S250" s="111"/>
      <c r="T250" s="111"/>
      <c r="U250" s="111"/>
      <c r="V250" s="111"/>
      <c r="W250" s="111"/>
    </row>
    <row r="251" spans="1:23" s="112" customFormat="1" ht="135" customHeight="1" x14ac:dyDescent="0.3">
      <c r="A251" s="372"/>
      <c r="B251" s="389"/>
      <c r="C251" s="145" t="s">
        <v>520</v>
      </c>
      <c r="D251" s="154"/>
      <c r="E251" s="147" t="s">
        <v>521</v>
      </c>
      <c r="F251" s="191"/>
      <c r="G251" s="191"/>
      <c r="H251" s="192"/>
      <c r="I251" s="192" t="s">
        <v>27</v>
      </c>
      <c r="J251" s="308">
        <v>296</v>
      </c>
      <c r="K251" s="308">
        <v>296</v>
      </c>
      <c r="L251" s="308">
        <v>302.54000000000002</v>
      </c>
      <c r="M251" s="308">
        <v>540.70000000000005</v>
      </c>
      <c r="N251" s="308">
        <v>540.70000000000005</v>
      </c>
      <c r="O251" s="308">
        <v>540.70000000000005</v>
      </c>
      <c r="P251" s="111"/>
      <c r="Q251" s="111"/>
      <c r="R251" s="111"/>
      <c r="S251" s="111"/>
      <c r="T251" s="111"/>
      <c r="U251" s="111"/>
      <c r="V251" s="111"/>
      <c r="W251" s="111"/>
    </row>
    <row r="252" spans="1:23" s="112" customFormat="1" ht="99" customHeight="1" x14ac:dyDescent="0.3">
      <c r="A252" s="372"/>
      <c r="B252" s="389"/>
      <c r="C252" s="84" t="s">
        <v>452</v>
      </c>
      <c r="D252" s="75" t="s">
        <v>522</v>
      </c>
      <c r="E252" s="80" t="s">
        <v>523</v>
      </c>
      <c r="F252" s="192"/>
      <c r="G252" s="192"/>
      <c r="H252" s="192"/>
      <c r="I252" s="192" t="s">
        <v>31</v>
      </c>
      <c r="J252" s="308">
        <v>162</v>
      </c>
      <c r="K252" s="308">
        <v>162</v>
      </c>
      <c r="L252" s="308">
        <v>162</v>
      </c>
      <c r="M252" s="308">
        <v>162</v>
      </c>
      <c r="N252" s="308">
        <v>162</v>
      </c>
      <c r="O252" s="308">
        <v>162</v>
      </c>
      <c r="P252" s="111"/>
      <c r="Q252" s="111"/>
      <c r="R252" s="111"/>
      <c r="S252" s="111"/>
      <c r="T252" s="111"/>
      <c r="U252" s="111"/>
      <c r="V252" s="111"/>
      <c r="W252" s="111"/>
    </row>
    <row r="253" spans="1:23" s="74" customFormat="1" ht="108" customHeight="1" x14ac:dyDescent="0.3">
      <c r="A253" s="372"/>
      <c r="B253" s="285" t="s">
        <v>524</v>
      </c>
      <c r="C253" s="142" t="s">
        <v>525</v>
      </c>
      <c r="D253" s="142"/>
      <c r="E253" s="142" t="s">
        <v>526</v>
      </c>
      <c r="F253" s="191" t="s">
        <v>220</v>
      </c>
      <c r="G253" s="191" t="s">
        <v>72</v>
      </c>
      <c r="H253" s="191" t="s">
        <v>527</v>
      </c>
      <c r="I253" s="191" t="s">
        <v>83</v>
      </c>
      <c r="J253" s="309">
        <v>10.4</v>
      </c>
      <c r="K253" s="309">
        <v>0</v>
      </c>
      <c r="L253" s="309">
        <v>0</v>
      </c>
      <c r="M253" s="309">
        <v>0</v>
      </c>
      <c r="N253" s="309">
        <v>0</v>
      </c>
      <c r="O253" s="309">
        <v>0</v>
      </c>
      <c r="P253" s="73"/>
      <c r="Q253" s="73"/>
      <c r="R253" s="73"/>
      <c r="S253" s="73"/>
      <c r="T253" s="73"/>
      <c r="U253" s="73"/>
      <c r="V253" s="73"/>
      <c r="W253" s="73"/>
    </row>
    <row r="254" spans="1:23" s="112" customFormat="1" ht="81" customHeight="1" x14ac:dyDescent="0.3">
      <c r="A254" s="268"/>
      <c r="B254" s="369" t="s">
        <v>492</v>
      </c>
      <c r="C254" s="201" t="s">
        <v>496</v>
      </c>
      <c r="D254" s="82"/>
      <c r="E254" s="80" t="s">
        <v>523</v>
      </c>
      <c r="F254" s="192" t="s">
        <v>220</v>
      </c>
      <c r="G254" s="192" t="s">
        <v>72</v>
      </c>
      <c r="H254" s="192" t="s">
        <v>528</v>
      </c>
      <c r="I254" s="192" t="s">
        <v>31</v>
      </c>
      <c r="J254" s="308">
        <v>0</v>
      </c>
      <c r="K254" s="308">
        <v>0</v>
      </c>
      <c r="L254" s="308">
        <v>121.21</v>
      </c>
      <c r="M254" s="308">
        <v>115.2</v>
      </c>
      <c r="N254" s="308">
        <v>98.7</v>
      </c>
      <c r="O254" s="308">
        <v>98.7</v>
      </c>
      <c r="P254" s="111"/>
      <c r="Q254" s="111"/>
      <c r="R254" s="111"/>
      <c r="S254" s="111"/>
      <c r="T254" s="111"/>
      <c r="U254" s="111"/>
      <c r="V254" s="111"/>
      <c r="W254" s="111"/>
    </row>
    <row r="255" spans="1:23" s="112" customFormat="1" ht="81" customHeight="1" x14ac:dyDescent="0.3">
      <c r="A255" s="268"/>
      <c r="B255" s="371"/>
      <c r="C255" s="201" t="s">
        <v>496</v>
      </c>
      <c r="D255" s="82"/>
      <c r="E255" s="80" t="s">
        <v>523</v>
      </c>
      <c r="F255" s="192" t="s">
        <v>220</v>
      </c>
      <c r="G255" s="192" t="s">
        <v>72</v>
      </c>
      <c r="H255" s="192" t="s">
        <v>528</v>
      </c>
      <c r="I255" s="192" t="s">
        <v>149</v>
      </c>
      <c r="J255" s="308">
        <v>0</v>
      </c>
      <c r="K255" s="308">
        <v>0</v>
      </c>
      <c r="L255" s="224">
        <v>99634.08</v>
      </c>
      <c r="M255" s="224">
        <v>120700.7</v>
      </c>
      <c r="N255" s="224">
        <v>96554</v>
      </c>
      <c r="O255" s="224">
        <v>96554</v>
      </c>
      <c r="P255" s="111"/>
      <c r="Q255" s="111"/>
      <c r="R255" s="111"/>
      <c r="S255" s="111"/>
      <c r="T255" s="111"/>
      <c r="U255" s="111"/>
      <c r="V255" s="111"/>
      <c r="W255" s="111"/>
    </row>
    <row r="256" spans="1:23" s="74" customFormat="1" ht="147.75" customHeight="1" x14ac:dyDescent="0.3">
      <c r="A256" s="372">
        <v>902</v>
      </c>
      <c r="B256" s="378" t="s">
        <v>529</v>
      </c>
      <c r="C256" s="142" t="s">
        <v>530</v>
      </c>
      <c r="D256" s="286"/>
      <c r="E256" s="142" t="s">
        <v>531</v>
      </c>
      <c r="F256" s="191" t="s">
        <v>72</v>
      </c>
      <c r="G256" s="191" t="s">
        <v>125</v>
      </c>
      <c r="H256" s="191"/>
      <c r="I256" s="191"/>
      <c r="J256" s="230">
        <f>J257</f>
        <v>1187.5999999999999</v>
      </c>
      <c r="K256" s="230">
        <f t="shared" ref="K256:O256" si="61">K257</f>
        <v>1169.7</v>
      </c>
      <c r="L256" s="230">
        <f t="shared" si="61"/>
        <v>923.7</v>
      </c>
      <c r="M256" s="230">
        <f t="shared" si="61"/>
        <v>960.6</v>
      </c>
      <c r="N256" s="230">
        <f t="shared" si="61"/>
        <v>960.6</v>
      </c>
      <c r="O256" s="230">
        <f t="shared" si="61"/>
        <v>960.6</v>
      </c>
      <c r="P256" s="160"/>
      <c r="Q256" s="72"/>
      <c r="R256" s="72"/>
      <c r="S256" s="72"/>
      <c r="T256" s="72"/>
      <c r="U256" s="72"/>
      <c r="V256" s="73"/>
      <c r="W256" s="73"/>
    </row>
    <row r="257" spans="1:23" s="74" customFormat="1" ht="84.6" customHeight="1" x14ac:dyDescent="0.3">
      <c r="A257" s="372"/>
      <c r="B257" s="373"/>
      <c r="C257" s="82" t="s">
        <v>532</v>
      </c>
      <c r="D257" s="210"/>
      <c r="E257" s="82" t="s">
        <v>533</v>
      </c>
      <c r="F257" s="192"/>
      <c r="G257" s="192"/>
      <c r="H257" s="192" t="s">
        <v>534</v>
      </c>
      <c r="I257" s="192" t="s">
        <v>31</v>
      </c>
      <c r="J257" s="224">
        <v>1187.5999999999999</v>
      </c>
      <c r="K257" s="224">
        <v>1169.7</v>
      </c>
      <c r="L257" s="224">
        <v>923.7</v>
      </c>
      <c r="M257" s="224">
        <v>960.6</v>
      </c>
      <c r="N257" s="224">
        <f>946.4+14.2</f>
        <v>960.6</v>
      </c>
      <c r="O257" s="224">
        <f>946.4+14.2</f>
        <v>960.6</v>
      </c>
      <c r="P257" s="73"/>
      <c r="Q257" s="73"/>
      <c r="R257" s="73"/>
      <c r="S257" s="73"/>
      <c r="T257" s="73"/>
      <c r="U257" s="73"/>
      <c r="V257" s="73"/>
      <c r="W257" s="73"/>
    </row>
    <row r="258" spans="1:23" s="209" customFormat="1" ht="123.6" customHeight="1" x14ac:dyDescent="0.3">
      <c r="A258" s="379">
        <v>902</v>
      </c>
      <c r="B258" s="378" t="s">
        <v>535</v>
      </c>
      <c r="C258" s="269" t="s">
        <v>536</v>
      </c>
      <c r="D258" s="93" t="s">
        <v>537</v>
      </c>
      <c r="E258" s="142" t="s">
        <v>538</v>
      </c>
      <c r="F258" s="191" t="s">
        <v>19</v>
      </c>
      <c r="G258" s="191" t="s">
        <v>72</v>
      </c>
      <c r="H258" s="191" t="s">
        <v>539</v>
      </c>
      <c r="I258" s="192"/>
      <c r="J258" s="230">
        <f>J259+J260+J261+J262</f>
        <v>3959.6</v>
      </c>
      <c r="K258" s="230">
        <f t="shared" ref="K258:O258" si="62">K259+K260+K261+K262</f>
        <v>3959.6</v>
      </c>
      <c r="L258" s="230">
        <f t="shared" si="62"/>
        <v>0</v>
      </c>
      <c r="M258" s="230">
        <f t="shared" si="62"/>
        <v>0</v>
      </c>
      <c r="N258" s="230">
        <f t="shared" si="62"/>
        <v>0</v>
      </c>
      <c r="O258" s="230">
        <f t="shared" si="62"/>
        <v>0</v>
      </c>
      <c r="P258" s="211"/>
      <c r="Q258" s="206"/>
      <c r="R258" s="206"/>
      <c r="S258" s="206"/>
      <c r="T258" s="206"/>
      <c r="U258" s="206"/>
      <c r="V258" s="206"/>
      <c r="W258" s="206"/>
    </row>
    <row r="259" spans="1:23" s="112" customFormat="1" ht="122.25" customHeight="1" x14ac:dyDescent="0.3">
      <c r="A259" s="372"/>
      <c r="B259" s="373"/>
      <c r="C259" s="82" t="s">
        <v>111</v>
      </c>
      <c r="D259" s="86" t="s">
        <v>99</v>
      </c>
      <c r="E259" s="99" t="s">
        <v>112</v>
      </c>
      <c r="F259" s="192"/>
      <c r="G259" s="192"/>
      <c r="H259" s="192"/>
      <c r="I259" s="192" t="s">
        <v>26</v>
      </c>
      <c r="J259" s="224">
        <v>2832.6</v>
      </c>
      <c r="K259" s="224">
        <v>2832.6</v>
      </c>
      <c r="L259" s="224">
        <v>0</v>
      </c>
      <c r="M259" s="224">
        <v>0</v>
      </c>
      <c r="N259" s="224">
        <v>0</v>
      </c>
      <c r="O259" s="224">
        <v>0</v>
      </c>
      <c r="P259" s="111"/>
      <c r="Q259" s="111"/>
      <c r="R259" s="111"/>
      <c r="S259" s="111"/>
      <c r="T259" s="111"/>
      <c r="U259" s="111"/>
      <c r="V259" s="111"/>
      <c r="W259" s="111"/>
    </row>
    <row r="260" spans="1:23" s="112" customFormat="1" ht="118.5" customHeight="1" x14ac:dyDescent="0.3">
      <c r="A260" s="372"/>
      <c r="B260" s="373"/>
      <c r="C260" s="80" t="s">
        <v>540</v>
      </c>
      <c r="D260" s="81" t="s">
        <v>65</v>
      </c>
      <c r="E260" s="82" t="s">
        <v>107</v>
      </c>
      <c r="F260" s="192"/>
      <c r="G260" s="192"/>
      <c r="H260" s="192"/>
      <c r="I260" s="192" t="s">
        <v>28</v>
      </c>
      <c r="J260" s="308">
        <v>32.799999999999997</v>
      </c>
      <c r="K260" s="308">
        <v>32.799999999999997</v>
      </c>
      <c r="L260" s="308">
        <v>0</v>
      </c>
      <c r="M260" s="308">
        <v>0</v>
      </c>
      <c r="N260" s="308">
        <v>0</v>
      </c>
      <c r="O260" s="308">
        <v>0</v>
      </c>
      <c r="P260" s="111"/>
      <c r="Q260" s="111"/>
      <c r="R260" s="111"/>
      <c r="S260" s="111"/>
      <c r="T260" s="111"/>
      <c r="U260" s="111"/>
      <c r="V260" s="111"/>
      <c r="W260" s="111"/>
    </row>
    <row r="261" spans="1:23" s="112" customFormat="1" ht="72" customHeight="1" x14ac:dyDescent="0.3">
      <c r="A261" s="372"/>
      <c r="B261" s="373"/>
      <c r="C261" s="84" t="s">
        <v>282</v>
      </c>
      <c r="D261" s="154"/>
      <c r="E261" s="147" t="s">
        <v>521</v>
      </c>
      <c r="F261" s="192"/>
      <c r="G261" s="192"/>
      <c r="H261" s="192"/>
      <c r="I261" s="192" t="s">
        <v>27</v>
      </c>
      <c r="J261" s="224">
        <v>781.8</v>
      </c>
      <c r="K261" s="224">
        <v>781.8</v>
      </c>
      <c r="L261" s="224">
        <v>0</v>
      </c>
      <c r="M261" s="224">
        <v>0</v>
      </c>
      <c r="N261" s="224">
        <v>0</v>
      </c>
      <c r="O261" s="224">
        <v>0</v>
      </c>
      <c r="P261" s="111"/>
      <c r="Q261" s="111"/>
      <c r="R261" s="111"/>
      <c r="S261" s="111"/>
      <c r="T261" s="111"/>
      <c r="U261" s="111"/>
      <c r="V261" s="111"/>
      <c r="W261" s="111"/>
    </row>
    <row r="262" spans="1:23" s="112" customFormat="1" ht="57.6" customHeight="1" x14ac:dyDescent="0.3">
      <c r="A262" s="380"/>
      <c r="B262" s="373"/>
      <c r="C262" s="212" t="s">
        <v>300</v>
      </c>
      <c r="D262" s="82" t="s">
        <v>541</v>
      </c>
      <c r="E262" s="82" t="s">
        <v>442</v>
      </c>
      <c r="F262" s="192"/>
      <c r="G262" s="192"/>
      <c r="H262" s="192"/>
      <c r="I262" s="192" t="s">
        <v>31</v>
      </c>
      <c r="J262" s="224">
        <v>312.39999999999998</v>
      </c>
      <c r="K262" s="224">
        <v>312.39999999999998</v>
      </c>
      <c r="L262" s="224">
        <v>0</v>
      </c>
      <c r="M262" s="224">
        <v>0</v>
      </c>
      <c r="N262" s="224">
        <v>0</v>
      </c>
      <c r="O262" s="224">
        <v>0</v>
      </c>
      <c r="P262" s="111"/>
      <c r="Q262" s="111"/>
      <c r="R262" s="111"/>
      <c r="S262" s="111"/>
      <c r="T262" s="111"/>
      <c r="U262" s="111"/>
      <c r="V262" s="111"/>
      <c r="W262" s="111"/>
    </row>
    <row r="263" spans="1:23" s="209" customFormat="1" ht="85.5" customHeight="1" x14ac:dyDescent="0.3">
      <c r="A263" s="179"/>
      <c r="B263" s="373"/>
      <c r="C263" s="269" t="s">
        <v>542</v>
      </c>
      <c r="D263" s="93" t="s">
        <v>537</v>
      </c>
      <c r="E263" s="142" t="s">
        <v>543</v>
      </c>
      <c r="F263" s="191" t="s">
        <v>19</v>
      </c>
      <c r="G263" s="191" t="s">
        <v>72</v>
      </c>
      <c r="H263" s="191" t="s">
        <v>544</v>
      </c>
      <c r="I263" s="192"/>
      <c r="J263" s="230">
        <f>J264+J265+J266+J267</f>
        <v>0</v>
      </c>
      <c r="K263" s="230">
        <f t="shared" ref="K263:O263" si="63">K264+K265+K266+K267</f>
        <v>0</v>
      </c>
      <c r="L263" s="230">
        <f t="shared" si="63"/>
        <v>4104.79</v>
      </c>
      <c r="M263" s="230">
        <f t="shared" si="63"/>
        <v>5095.2</v>
      </c>
      <c r="N263" s="230">
        <f t="shared" si="63"/>
        <v>5354.4000000000005</v>
      </c>
      <c r="O263" s="230">
        <f t="shared" si="63"/>
        <v>5354.4000000000005</v>
      </c>
      <c r="P263" s="211"/>
      <c r="Q263" s="206"/>
      <c r="R263" s="206"/>
      <c r="S263" s="206"/>
      <c r="T263" s="206"/>
      <c r="U263" s="206"/>
      <c r="V263" s="206"/>
      <c r="W263" s="206"/>
    </row>
    <row r="264" spans="1:23" s="112" customFormat="1" ht="57.6" customHeight="1" x14ac:dyDescent="0.3">
      <c r="A264" s="179"/>
      <c r="B264" s="373"/>
      <c r="C264" s="82" t="s">
        <v>111</v>
      </c>
      <c r="D264" s="86" t="s">
        <v>99</v>
      </c>
      <c r="E264" s="99" t="s">
        <v>112</v>
      </c>
      <c r="F264" s="192"/>
      <c r="G264" s="192"/>
      <c r="H264" s="192"/>
      <c r="I264" s="192" t="s">
        <v>26</v>
      </c>
      <c r="J264" s="224">
        <v>0</v>
      </c>
      <c r="K264" s="224">
        <v>0</v>
      </c>
      <c r="L264" s="224">
        <v>2898.33</v>
      </c>
      <c r="M264" s="224">
        <v>3358.4</v>
      </c>
      <c r="N264" s="224">
        <v>3517.6</v>
      </c>
      <c r="O264" s="224">
        <v>3517.6</v>
      </c>
      <c r="P264" s="111"/>
      <c r="Q264" s="111"/>
      <c r="R264" s="111"/>
      <c r="S264" s="111"/>
      <c r="T264" s="111"/>
      <c r="U264" s="111"/>
      <c r="V264" s="111"/>
      <c r="W264" s="111"/>
    </row>
    <row r="265" spans="1:23" s="112" customFormat="1" ht="57.6" customHeight="1" x14ac:dyDescent="0.3">
      <c r="A265" s="179"/>
      <c r="B265" s="373"/>
      <c r="C265" s="80" t="s">
        <v>540</v>
      </c>
      <c r="D265" s="81" t="s">
        <v>65</v>
      </c>
      <c r="E265" s="82" t="s">
        <v>107</v>
      </c>
      <c r="F265" s="192"/>
      <c r="G265" s="192"/>
      <c r="H265" s="192"/>
      <c r="I265" s="192" t="s">
        <v>28</v>
      </c>
      <c r="J265" s="224">
        <v>0</v>
      </c>
      <c r="K265" s="224">
        <v>0</v>
      </c>
      <c r="L265" s="224">
        <v>0</v>
      </c>
      <c r="M265" s="224">
        <v>0</v>
      </c>
      <c r="N265" s="224">
        <v>0</v>
      </c>
      <c r="O265" s="224">
        <v>0</v>
      </c>
      <c r="P265" s="111"/>
      <c r="Q265" s="111"/>
      <c r="R265" s="111"/>
      <c r="S265" s="111"/>
      <c r="T265" s="111"/>
      <c r="U265" s="111"/>
      <c r="V265" s="111"/>
      <c r="W265" s="111"/>
    </row>
    <row r="266" spans="1:23" s="112" customFormat="1" ht="66.75" customHeight="1" x14ac:dyDescent="0.3">
      <c r="A266" s="179"/>
      <c r="B266" s="373"/>
      <c r="C266" s="84" t="s">
        <v>282</v>
      </c>
      <c r="D266" s="154"/>
      <c r="E266" s="147" t="s">
        <v>521</v>
      </c>
      <c r="F266" s="192"/>
      <c r="G266" s="192"/>
      <c r="H266" s="192"/>
      <c r="I266" s="192" t="s">
        <v>27</v>
      </c>
      <c r="J266" s="224">
        <v>0</v>
      </c>
      <c r="K266" s="224">
        <v>0</v>
      </c>
      <c r="L266" s="224">
        <v>882.46</v>
      </c>
      <c r="M266" s="224">
        <v>1400</v>
      </c>
      <c r="N266" s="224">
        <v>1500</v>
      </c>
      <c r="O266" s="224">
        <v>1500</v>
      </c>
      <c r="P266" s="111"/>
      <c r="Q266" s="111"/>
      <c r="R266" s="111"/>
      <c r="S266" s="111"/>
      <c r="T266" s="111"/>
      <c r="U266" s="111"/>
      <c r="V266" s="111"/>
      <c r="W266" s="111"/>
    </row>
    <row r="267" spans="1:23" s="112" customFormat="1" ht="57.6" customHeight="1" x14ac:dyDescent="0.3">
      <c r="A267" s="179"/>
      <c r="B267" s="374"/>
      <c r="C267" s="212" t="s">
        <v>300</v>
      </c>
      <c r="D267" s="82" t="s">
        <v>541</v>
      </c>
      <c r="E267" s="82" t="s">
        <v>151</v>
      </c>
      <c r="F267" s="192"/>
      <c r="G267" s="192"/>
      <c r="H267" s="192"/>
      <c r="I267" s="192" t="s">
        <v>31</v>
      </c>
      <c r="J267" s="224">
        <v>0</v>
      </c>
      <c r="K267" s="224">
        <v>0</v>
      </c>
      <c r="L267" s="224">
        <v>324</v>
      </c>
      <c r="M267" s="224">
        <v>336.8</v>
      </c>
      <c r="N267" s="224">
        <v>336.8</v>
      </c>
      <c r="O267" s="224">
        <v>336.8</v>
      </c>
      <c r="P267" s="111"/>
      <c r="Q267" s="111"/>
      <c r="R267" s="111"/>
      <c r="S267" s="111"/>
      <c r="T267" s="111"/>
      <c r="U267" s="111"/>
      <c r="V267" s="111"/>
      <c r="W267" s="111"/>
    </row>
    <row r="268" spans="1:23" s="209" customFormat="1" ht="123" customHeight="1" x14ac:dyDescent="0.3">
      <c r="A268" s="379">
        <v>902</v>
      </c>
      <c r="B268" s="378" t="s">
        <v>545</v>
      </c>
      <c r="C268" s="269" t="s">
        <v>546</v>
      </c>
      <c r="D268" s="93" t="s">
        <v>547</v>
      </c>
      <c r="E268" s="142" t="s">
        <v>548</v>
      </c>
      <c r="F268" s="177" t="s">
        <v>19</v>
      </c>
      <c r="G268" s="177" t="s">
        <v>72</v>
      </c>
      <c r="H268" s="177" t="s">
        <v>549</v>
      </c>
      <c r="I268" s="166"/>
      <c r="J268" s="178">
        <f>J269+J270+J271+J272</f>
        <v>9717.6</v>
      </c>
      <c r="K268" s="178">
        <f t="shared" ref="K268:O268" si="64">K269+K270+K271+K272</f>
        <v>9717.6</v>
      </c>
      <c r="L268" s="178">
        <f t="shared" si="64"/>
        <v>0</v>
      </c>
      <c r="M268" s="178">
        <f t="shared" si="64"/>
        <v>0</v>
      </c>
      <c r="N268" s="178">
        <f t="shared" si="64"/>
        <v>0</v>
      </c>
      <c r="O268" s="178">
        <f t="shared" si="64"/>
        <v>0</v>
      </c>
      <c r="P268" s="211"/>
      <c r="Q268" s="206"/>
      <c r="R268" s="206"/>
      <c r="S268" s="206"/>
      <c r="T268" s="206"/>
      <c r="U268" s="206"/>
      <c r="V268" s="206"/>
      <c r="W268" s="206"/>
    </row>
    <row r="269" spans="1:23" s="112" customFormat="1" ht="117.75" customHeight="1" x14ac:dyDescent="0.3">
      <c r="A269" s="395"/>
      <c r="B269" s="373"/>
      <c r="C269" s="82" t="s">
        <v>111</v>
      </c>
      <c r="D269" s="86" t="s">
        <v>99</v>
      </c>
      <c r="E269" s="99" t="s">
        <v>112</v>
      </c>
      <c r="F269" s="166"/>
      <c r="G269" s="166"/>
      <c r="H269" s="166"/>
      <c r="I269" s="166" t="s">
        <v>26</v>
      </c>
      <c r="J269" s="167">
        <v>6722.2</v>
      </c>
      <c r="K269" s="167">
        <v>6722.2</v>
      </c>
      <c r="L269" s="167">
        <v>0</v>
      </c>
      <c r="M269" s="167">
        <v>0</v>
      </c>
      <c r="N269" s="167">
        <v>0</v>
      </c>
      <c r="O269" s="167">
        <v>0</v>
      </c>
      <c r="P269" s="111"/>
      <c r="Q269" s="111"/>
      <c r="R269" s="111"/>
      <c r="S269" s="111"/>
      <c r="T269" s="111"/>
      <c r="U269" s="111"/>
      <c r="V269" s="111"/>
      <c r="W269" s="111"/>
    </row>
    <row r="270" spans="1:23" s="112" customFormat="1" ht="93" customHeight="1" x14ac:dyDescent="0.3">
      <c r="A270" s="395"/>
      <c r="B270" s="373"/>
      <c r="C270" s="80" t="s">
        <v>550</v>
      </c>
      <c r="D270" s="81" t="s">
        <v>65</v>
      </c>
      <c r="E270" s="82" t="s">
        <v>107</v>
      </c>
      <c r="F270" s="166"/>
      <c r="G270" s="166"/>
      <c r="H270" s="166"/>
      <c r="I270" s="166" t="s">
        <v>28</v>
      </c>
      <c r="J270" s="167">
        <v>16</v>
      </c>
      <c r="K270" s="167">
        <v>16</v>
      </c>
      <c r="L270" s="167">
        <v>0</v>
      </c>
      <c r="M270" s="167">
        <v>0</v>
      </c>
      <c r="N270" s="167">
        <v>0</v>
      </c>
      <c r="O270" s="167">
        <v>0</v>
      </c>
      <c r="P270" s="111"/>
      <c r="Q270" s="111"/>
      <c r="R270" s="111"/>
      <c r="S270" s="111"/>
      <c r="T270" s="111"/>
      <c r="U270" s="111"/>
      <c r="V270" s="111"/>
      <c r="W270" s="111"/>
    </row>
    <row r="271" spans="1:23" s="112" customFormat="1" ht="132.75" customHeight="1" x14ac:dyDescent="0.3">
      <c r="A271" s="395"/>
      <c r="B271" s="373"/>
      <c r="C271" s="84" t="s">
        <v>520</v>
      </c>
      <c r="D271" s="154"/>
      <c r="E271" s="147" t="s">
        <v>551</v>
      </c>
      <c r="F271" s="166"/>
      <c r="G271" s="166"/>
      <c r="H271" s="166"/>
      <c r="I271" s="166" t="s">
        <v>27</v>
      </c>
      <c r="J271" s="167">
        <v>2007.4</v>
      </c>
      <c r="K271" s="167">
        <v>2007.4</v>
      </c>
      <c r="L271" s="167">
        <v>0</v>
      </c>
      <c r="M271" s="167">
        <v>0</v>
      </c>
      <c r="N271" s="167">
        <v>0</v>
      </c>
      <c r="O271" s="167">
        <v>0</v>
      </c>
      <c r="P271" s="111"/>
      <c r="Q271" s="111"/>
      <c r="R271" s="111"/>
      <c r="S271" s="111"/>
      <c r="T271" s="111"/>
      <c r="U271" s="111"/>
      <c r="V271" s="111"/>
      <c r="W271" s="111"/>
    </row>
    <row r="272" spans="1:23" s="112" customFormat="1" ht="75" customHeight="1" x14ac:dyDescent="0.3">
      <c r="A272" s="396"/>
      <c r="B272" s="373"/>
      <c r="C272" s="212" t="s">
        <v>300</v>
      </c>
      <c r="D272" s="82" t="s">
        <v>347</v>
      </c>
      <c r="E272" s="80" t="s">
        <v>442</v>
      </c>
      <c r="F272" s="166"/>
      <c r="G272" s="166"/>
      <c r="H272" s="166"/>
      <c r="I272" s="166" t="s">
        <v>31</v>
      </c>
      <c r="J272" s="167">
        <v>972</v>
      </c>
      <c r="K272" s="167">
        <v>972</v>
      </c>
      <c r="L272" s="167">
        <v>0</v>
      </c>
      <c r="M272" s="167">
        <v>0</v>
      </c>
      <c r="N272" s="167">
        <v>0</v>
      </c>
      <c r="O272" s="167">
        <v>0</v>
      </c>
      <c r="P272" s="111"/>
      <c r="Q272" s="111"/>
      <c r="R272" s="111"/>
      <c r="S272" s="111"/>
      <c r="T272" s="111"/>
      <c r="U272" s="111"/>
      <c r="V272" s="111"/>
      <c r="W272" s="111"/>
    </row>
    <row r="273" spans="1:23" s="209" customFormat="1" ht="123.75" customHeight="1" x14ac:dyDescent="0.3">
      <c r="A273" s="287"/>
      <c r="B273" s="373"/>
      <c r="C273" s="269" t="s">
        <v>546</v>
      </c>
      <c r="D273" s="93" t="s">
        <v>547</v>
      </c>
      <c r="E273" s="142" t="s">
        <v>548</v>
      </c>
      <c r="F273" s="177" t="s">
        <v>19</v>
      </c>
      <c r="G273" s="177" t="s">
        <v>72</v>
      </c>
      <c r="H273" s="177" t="s">
        <v>552</v>
      </c>
      <c r="I273" s="166"/>
      <c r="J273" s="178">
        <f>J274+J275+J276+J277</f>
        <v>0</v>
      </c>
      <c r="K273" s="178">
        <f t="shared" ref="K273:O273" si="65">K274+K275+K276+K277</f>
        <v>0</v>
      </c>
      <c r="L273" s="178">
        <f t="shared" si="65"/>
        <v>10067.989999999998</v>
      </c>
      <c r="M273" s="178">
        <f t="shared" si="65"/>
        <v>12457.199999999999</v>
      </c>
      <c r="N273" s="178">
        <f t="shared" si="65"/>
        <v>13081.199999999999</v>
      </c>
      <c r="O273" s="178">
        <f t="shared" si="65"/>
        <v>13081.199999999999</v>
      </c>
      <c r="P273" s="211"/>
      <c r="Q273" s="206"/>
      <c r="R273" s="206"/>
      <c r="S273" s="206"/>
      <c r="T273" s="206"/>
      <c r="U273" s="206"/>
      <c r="V273" s="206"/>
      <c r="W273" s="206"/>
    </row>
    <row r="274" spans="1:23" s="112" customFormat="1" ht="81.75" customHeight="1" x14ac:dyDescent="0.3">
      <c r="A274" s="287"/>
      <c r="B274" s="373"/>
      <c r="C274" s="82" t="s">
        <v>111</v>
      </c>
      <c r="D274" s="86" t="s">
        <v>99</v>
      </c>
      <c r="E274" s="99" t="s">
        <v>112</v>
      </c>
      <c r="F274" s="166"/>
      <c r="G274" s="166"/>
      <c r="H274" s="166"/>
      <c r="I274" s="166" t="s">
        <v>26</v>
      </c>
      <c r="J274" s="167">
        <v>0</v>
      </c>
      <c r="K274" s="167">
        <v>0</v>
      </c>
      <c r="L274" s="167">
        <v>7052.65</v>
      </c>
      <c r="M274" s="167">
        <v>7946.8</v>
      </c>
      <c r="N274" s="167">
        <v>8370.7999999999993</v>
      </c>
      <c r="O274" s="167">
        <v>8370.7999999999993</v>
      </c>
      <c r="P274" s="111"/>
      <c r="Q274" s="111"/>
      <c r="R274" s="111"/>
      <c r="S274" s="111"/>
      <c r="T274" s="111"/>
      <c r="U274" s="111"/>
      <c r="V274" s="111"/>
      <c r="W274" s="111"/>
    </row>
    <row r="275" spans="1:23" s="112" customFormat="1" ht="87" customHeight="1" x14ac:dyDescent="0.3">
      <c r="A275" s="287"/>
      <c r="B275" s="373"/>
      <c r="C275" s="80" t="s">
        <v>550</v>
      </c>
      <c r="D275" s="81" t="s">
        <v>65</v>
      </c>
      <c r="E275" s="82" t="s">
        <v>107</v>
      </c>
      <c r="F275" s="166"/>
      <c r="G275" s="166"/>
      <c r="H275" s="166"/>
      <c r="I275" s="166" t="s">
        <v>28</v>
      </c>
      <c r="J275" s="167">
        <v>0</v>
      </c>
      <c r="K275" s="167">
        <v>0</v>
      </c>
      <c r="L275" s="167">
        <v>13.2</v>
      </c>
      <c r="M275" s="167">
        <v>0</v>
      </c>
      <c r="N275" s="167">
        <v>0</v>
      </c>
      <c r="O275" s="167">
        <v>0</v>
      </c>
      <c r="P275" s="111"/>
      <c r="Q275" s="111"/>
      <c r="R275" s="111"/>
      <c r="S275" s="111"/>
      <c r="T275" s="111"/>
      <c r="U275" s="111"/>
      <c r="V275" s="111"/>
      <c r="W275" s="111"/>
    </row>
    <row r="276" spans="1:23" s="112" customFormat="1" ht="87.75" customHeight="1" x14ac:dyDescent="0.3">
      <c r="A276" s="287"/>
      <c r="B276" s="373"/>
      <c r="C276" s="84" t="s">
        <v>520</v>
      </c>
      <c r="D276" s="154"/>
      <c r="E276" s="147" t="s">
        <v>551</v>
      </c>
      <c r="F276" s="166"/>
      <c r="G276" s="166"/>
      <c r="H276" s="166"/>
      <c r="I276" s="166" t="s">
        <v>27</v>
      </c>
      <c r="J276" s="167">
        <v>0</v>
      </c>
      <c r="K276" s="167">
        <v>0</v>
      </c>
      <c r="L276" s="167">
        <v>2043.34</v>
      </c>
      <c r="M276" s="167">
        <v>3500</v>
      </c>
      <c r="N276" s="167">
        <v>3700</v>
      </c>
      <c r="O276" s="167">
        <v>3700</v>
      </c>
      <c r="P276" s="111"/>
      <c r="Q276" s="111"/>
      <c r="R276" s="111"/>
      <c r="S276" s="111"/>
      <c r="T276" s="111"/>
      <c r="U276" s="111"/>
      <c r="V276" s="111"/>
      <c r="W276" s="111"/>
    </row>
    <row r="277" spans="1:23" s="112" customFormat="1" ht="54.75" customHeight="1" x14ac:dyDescent="0.3">
      <c r="A277" s="287"/>
      <c r="B277" s="374"/>
      <c r="C277" s="212" t="s">
        <v>300</v>
      </c>
      <c r="D277" s="82" t="s">
        <v>347</v>
      </c>
      <c r="E277" s="80" t="s">
        <v>151</v>
      </c>
      <c r="F277" s="166"/>
      <c r="G277" s="166"/>
      <c r="H277" s="166"/>
      <c r="I277" s="166" t="s">
        <v>31</v>
      </c>
      <c r="J277" s="167">
        <v>0</v>
      </c>
      <c r="K277" s="167">
        <v>0</v>
      </c>
      <c r="L277" s="167">
        <v>958.8</v>
      </c>
      <c r="M277" s="167">
        <v>1010.4</v>
      </c>
      <c r="N277" s="167">
        <v>1010.4</v>
      </c>
      <c r="O277" s="167">
        <v>1010.4</v>
      </c>
      <c r="P277" s="111"/>
      <c r="Q277" s="111"/>
      <c r="R277" s="111"/>
      <c r="S277" s="111"/>
      <c r="T277" s="111"/>
      <c r="U277" s="111"/>
      <c r="V277" s="111"/>
      <c r="W277" s="111"/>
    </row>
    <row r="278" spans="1:23" s="213" customFormat="1" ht="120.75" customHeight="1" x14ac:dyDescent="0.3">
      <c r="A278" s="288"/>
      <c r="B278" s="400" t="s">
        <v>553</v>
      </c>
      <c r="C278" s="269" t="s">
        <v>554</v>
      </c>
      <c r="D278" s="93" t="s">
        <v>547</v>
      </c>
      <c r="E278" s="142" t="s">
        <v>548</v>
      </c>
      <c r="F278" s="177" t="s">
        <v>19</v>
      </c>
      <c r="G278" s="177" t="s">
        <v>72</v>
      </c>
      <c r="H278" s="177" t="s">
        <v>555</v>
      </c>
      <c r="I278" s="177"/>
      <c r="J278" s="178">
        <f>J279+J280+J281</f>
        <v>0</v>
      </c>
      <c r="K278" s="178">
        <f t="shared" ref="K278:O278" si="66">K279+K280+K281</f>
        <v>0</v>
      </c>
      <c r="L278" s="178">
        <f t="shared" si="66"/>
        <v>0</v>
      </c>
      <c r="M278" s="178">
        <f t="shared" si="66"/>
        <v>933.40000000000009</v>
      </c>
      <c r="N278" s="178">
        <f t="shared" si="66"/>
        <v>979.7</v>
      </c>
      <c r="O278" s="178">
        <f t="shared" si="66"/>
        <v>979.7</v>
      </c>
    </row>
    <row r="279" spans="1:23" s="112" customFormat="1" ht="123" customHeight="1" x14ac:dyDescent="0.3">
      <c r="A279" s="287"/>
      <c r="B279" s="400"/>
      <c r="C279" s="82" t="s">
        <v>111</v>
      </c>
      <c r="D279" s="86" t="s">
        <v>99</v>
      </c>
      <c r="E279" s="99" t="s">
        <v>112</v>
      </c>
      <c r="F279" s="166"/>
      <c r="G279" s="166"/>
      <c r="H279" s="166"/>
      <c r="I279" s="166" t="s">
        <v>26</v>
      </c>
      <c r="J279" s="167">
        <v>0</v>
      </c>
      <c r="K279" s="167">
        <v>0</v>
      </c>
      <c r="L279" s="167">
        <v>0</v>
      </c>
      <c r="M279" s="167">
        <v>593.20000000000005</v>
      </c>
      <c r="N279" s="167">
        <v>639.5</v>
      </c>
      <c r="O279" s="167">
        <v>639.5</v>
      </c>
      <c r="P279" s="111"/>
      <c r="Q279" s="111"/>
      <c r="R279" s="111"/>
      <c r="S279" s="111"/>
      <c r="T279" s="111"/>
      <c r="U279" s="111"/>
      <c r="V279" s="111"/>
      <c r="W279" s="111"/>
    </row>
    <row r="280" spans="1:23" s="112" customFormat="1" ht="78" customHeight="1" x14ac:dyDescent="0.3">
      <c r="A280" s="287"/>
      <c r="B280" s="400"/>
      <c r="C280" s="84" t="s">
        <v>520</v>
      </c>
      <c r="D280" s="154"/>
      <c r="E280" s="147" t="s">
        <v>551</v>
      </c>
      <c r="F280" s="166"/>
      <c r="G280" s="166"/>
      <c r="H280" s="166"/>
      <c r="I280" s="166" t="s">
        <v>27</v>
      </c>
      <c r="J280" s="167">
        <v>0</v>
      </c>
      <c r="K280" s="167">
        <v>0</v>
      </c>
      <c r="L280" s="167">
        <v>0</v>
      </c>
      <c r="M280" s="167">
        <v>256</v>
      </c>
      <c r="N280" s="167">
        <v>256</v>
      </c>
      <c r="O280" s="167">
        <v>256</v>
      </c>
      <c r="P280" s="111"/>
      <c r="Q280" s="111"/>
      <c r="R280" s="111"/>
      <c r="S280" s="111"/>
      <c r="T280" s="111"/>
      <c r="U280" s="111"/>
      <c r="V280" s="111"/>
      <c r="W280" s="111"/>
    </row>
    <row r="281" spans="1:23" s="112" customFormat="1" ht="47.25" customHeight="1" x14ac:dyDescent="0.3">
      <c r="A281" s="287"/>
      <c r="B281" s="400"/>
      <c r="C281" s="212" t="s">
        <v>300</v>
      </c>
      <c r="D281" s="82" t="s">
        <v>347</v>
      </c>
      <c r="E281" s="80" t="s">
        <v>556</v>
      </c>
      <c r="F281" s="166"/>
      <c r="G281" s="166"/>
      <c r="H281" s="166"/>
      <c r="I281" s="166" t="s">
        <v>31</v>
      </c>
      <c r="J281" s="167">
        <v>0</v>
      </c>
      <c r="K281" s="167">
        <v>0</v>
      </c>
      <c r="L281" s="167">
        <v>0</v>
      </c>
      <c r="M281" s="167">
        <v>84.2</v>
      </c>
      <c r="N281" s="167">
        <v>84.2</v>
      </c>
      <c r="O281" s="167">
        <v>84.2</v>
      </c>
      <c r="P281" s="111"/>
      <c r="Q281" s="111"/>
      <c r="R281" s="111"/>
      <c r="S281" s="111"/>
      <c r="T281" s="111"/>
      <c r="U281" s="111"/>
      <c r="V281" s="111"/>
      <c r="W281" s="111"/>
    </row>
    <row r="282" spans="1:23" s="112" customFormat="1" ht="108.75" customHeight="1" x14ac:dyDescent="0.3">
      <c r="A282" s="379">
        <v>902</v>
      </c>
      <c r="B282" s="379" t="s">
        <v>557</v>
      </c>
      <c r="C282" s="269" t="s">
        <v>558</v>
      </c>
      <c r="D282" s="93" t="s">
        <v>559</v>
      </c>
      <c r="E282" s="142" t="s">
        <v>560</v>
      </c>
      <c r="F282" s="177" t="s">
        <v>19</v>
      </c>
      <c r="G282" s="177" t="s">
        <v>72</v>
      </c>
      <c r="H282" s="177" t="s">
        <v>561</v>
      </c>
      <c r="I282" s="166"/>
      <c r="J282" s="178">
        <f>J283+J284+J285+J286</f>
        <v>992.6</v>
      </c>
      <c r="K282" s="178">
        <f t="shared" ref="K282:O282" si="67">K283+K284+K285+K286</f>
        <v>992.6</v>
      </c>
      <c r="L282" s="178">
        <f t="shared" si="67"/>
        <v>0</v>
      </c>
      <c r="M282" s="178">
        <f t="shared" si="67"/>
        <v>0</v>
      </c>
      <c r="N282" s="178">
        <f t="shared" si="67"/>
        <v>0</v>
      </c>
      <c r="O282" s="178">
        <f t="shared" si="67"/>
        <v>0</v>
      </c>
      <c r="P282" s="129"/>
      <c r="Q282" s="111"/>
      <c r="R282" s="111"/>
      <c r="S282" s="111"/>
      <c r="T282" s="111"/>
      <c r="U282" s="111"/>
      <c r="V282" s="111"/>
      <c r="W282" s="111"/>
    </row>
    <row r="283" spans="1:23" s="112" customFormat="1" ht="120.75" customHeight="1" x14ac:dyDescent="0.3">
      <c r="A283" s="395"/>
      <c r="B283" s="372"/>
      <c r="C283" s="82" t="s">
        <v>111</v>
      </c>
      <c r="D283" s="86" t="s">
        <v>99</v>
      </c>
      <c r="E283" s="82" t="s">
        <v>112</v>
      </c>
      <c r="F283" s="170"/>
      <c r="G283" s="170"/>
      <c r="H283" s="170"/>
      <c r="I283" s="170" t="s">
        <v>26</v>
      </c>
      <c r="J283" s="171">
        <v>649</v>
      </c>
      <c r="K283" s="171">
        <v>649</v>
      </c>
      <c r="L283" s="171">
        <v>0</v>
      </c>
      <c r="M283" s="171">
        <v>0</v>
      </c>
      <c r="N283" s="171">
        <v>0</v>
      </c>
      <c r="O283" s="171">
        <v>0</v>
      </c>
      <c r="P283" s="111"/>
      <c r="Q283" s="111"/>
      <c r="R283" s="111"/>
      <c r="S283" s="111"/>
      <c r="T283" s="111"/>
      <c r="U283" s="111"/>
      <c r="V283" s="111"/>
      <c r="W283" s="111"/>
    </row>
    <row r="284" spans="1:23" s="112" customFormat="1" ht="96.75" customHeight="1" x14ac:dyDescent="0.3">
      <c r="A284" s="395"/>
      <c r="B284" s="372"/>
      <c r="C284" s="80" t="s">
        <v>562</v>
      </c>
      <c r="D284" s="81" t="s">
        <v>65</v>
      </c>
      <c r="E284" s="82" t="s">
        <v>107</v>
      </c>
      <c r="F284" s="170"/>
      <c r="G284" s="170"/>
      <c r="H284" s="170"/>
      <c r="I284" s="170" t="s">
        <v>28</v>
      </c>
      <c r="J284" s="171">
        <v>0</v>
      </c>
      <c r="K284" s="171">
        <v>0</v>
      </c>
      <c r="L284" s="171">
        <v>0</v>
      </c>
      <c r="M284" s="171">
        <v>0</v>
      </c>
      <c r="N284" s="171">
        <v>0</v>
      </c>
      <c r="O284" s="171">
        <v>0</v>
      </c>
      <c r="P284" s="111"/>
      <c r="Q284" s="111"/>
      <c r="R284" s="111"/>
      <c r="S284" s="111"/>
      <c r="T284" s="111"/>
      <c r="U284" s="111"/>
      <c r="V284" s="111"/>
      <c r="W284" s="111"/>
    </row>
    <row r="285" spans="1:23" s="112" customFormat="1" ht="98.25" customHeight="1" x14ac:dyDescent="0.3">
      <c r="A285" s="395"/>
      <c r="B285" s="372"/>
      <c r="C285" s="84" t="s">
        <v>282</v>
      </c>
      <c r="D285" s="154"/>
      <c r="E285" s="147" t="s">
        <v>114</v>
      </c>
      <c r="F285" s="170"/>
      <c r="G285" s="170"/>
      <c r="H285" s="170"/>
      <c r="I285" s="170" t="s">
        <v>27</v>
      </c>
      <c r="J285" s="171">
        <v>181.6</v>
      </c>
      <c r="K285" s="171">
        <v>181.6</v>
      </c>
      <c r="L285" s="171">
        <v>0</v>
      </c>
      <c r="M285" s="171">
        <v>0</v>
      </c>
      <c r="N285" s="171"/>
      <c r="O285" s="171">
        <v>0</v>
      </c>
      <c r="P285" s="111"/>
      <c r="Q285" s="111"/>
      <c r="R285" s="111"/>
      <c r="S285" s="111"/>
      <c r="T285" s="111"/>
      <c r="U285" s="111"/>
      <c r="V285" s="111"/>
      <c r="W285" s="111"/>
    </row>
    <row r="286" spans="1:23" s="112" customFormat="1" ht="45" customHeight="1" x14ac:dyDescent="0.3">
      <c r="A286" s="396"/>
      <c r="B286" s="372"/>
      <c r="C286" s="212" t="s">
        <v>300</v>
      </c>
      <c r="D286" s="214" t="s">
        <v>541</v>
      </c>
      <c r="E286" s="82" t="s">
        <v>563</v>
      </c>
      <c r="F286" s="170"/>
      <c r="G286" s="170"/>
      <c r="H286" s="170"/>
      <c r="I286" s="170" t="s">
        <v>31</v>
      </c>
      <c r="J286" s="171">
        <v>162</v>
      </c>
      <c r="K286" s="171">
        <v>162</v>
      </c>
      <c r="L286" s="171">
        <v>0</v>
      </c>
      <c r="M286" s="171">
        <v>0</v>
      </c>
      <c r="N286" s="171">
        <v>0</v>
      </c>
      <c r="O286" s="171">
        <v>0</v>
      </c>
      <c r="P286" s="111"/>
      <c r="Q286" s="111"/>
      <c r="R286" s="111"/>
      <c r="S286" s="111"/>
      <c r="T286" s="111"/>
      <c r="U286" s="111"/>
      <c r="V286" s="111"/>
      <c r="W286" s="111"/>
    </row>
    <row r="287" spans="1:23" s="112" customFormat="1" ht="95.25" customHeight="1" x14ac:dyDescent="0.3">
      <c r="A287" s="287"/>
      <c r="B287" s="372"/>
      <c r="C287" s="269" t="s">
        <v>554</v>
      </c>
      <c r="D287" s="93" t="s">
        <v>559</v>
      </c>
      <c r="E287" s="142" t="s">
        <v>564</v>
      </c>
      <c r="F287" s="177" t="s">
        <v>19</v>
      </c>
      <c r="G287" s="177" t="s">
        <v>72</v>
      </c>
      <c r="H287" s="177" t="s">
        <v>565</v>
      </c>
      <c r="I287" s="166"/>
      <c r="J287" s="178">
        <f>J288+J289+J290</f>
        <v>0</v>
      </c>
      <c r="K287" s="178">
        <f t="shared" ref="K287:O287" si="68">K288+K289+K290</f>
        <v>0</v>
      </c>
      <c r="L287" s="178">
        <f t="shared" si="68"/>
        <v>1025.79</v>
      </c>
      <c r="M287" s="178">
        <f t="shared" si="68"/>
        <v>1883.1</v>
      </c>
      <c r="N287" s="178">
        <f t="shared" si="68"/>
        <v>1314.6000000000001</v>
      </c>
      <c r="O287" s="178">
        <f t="shared" si="68"/>
        <v>1314.6000000000001</v>
      </c>
      <c r="P287" s="129"/>
      <c r="Q287" s="111"/>
      <c r="R287" s="111"/>
      <c r="S287" s="111"/>
      <c r="T287" s="111"/>
      <c r="U287" s="111"/>
      <c r="V287" s="111"/>
      <c r="W287" s="111"/>
    </row>
    <row r="288" spans="1:23" s="112" customFormat="1" ht="120.75" customHeight="1" x14ac:dyDescent="0.3">
      <c r="A288" s="287"/>
      <c r="B288" s="372"/>
      <c r="C288" s="82" t="s">
        <v>111</v>
      </c>
      <c r="D288" s="86" t="s">
        <v>99</v>
      </c>
      <c r="E288" s="82" t="s">
        <v>112</v>
      </c>
      <c r="F288" s="170"/>
      <c r="G288" s="170"/>
      <c r="H288" s="170"/>
      <c r="I288" s="170" t="s">
        <v>26</v>
      </c>
      <c r="J288" s="171">
        <v>0</v>
      </c>
      <c r="K288" s="171">
        <v>0</v>
      </c>
      <c r="L288" s="171">
        <v>665.93</v>
      </c>
      <c r="M288" s="171">
        <v>1145.5</v>
      </c>
      <c r="N288" s="171">
        <v>661.2</v>
      </c>
      <c r="O288" s="171">
        <v>661.2</v>
      </c>
      <c r="P288" s="111"/>
      <c r="Q288" s="111"/>
      <c r="R288" s="111"/>
      <c r="S288" s="111"/>
      <c r="T288" s="111"/>
      <c r="U288" s="111"/>
      <c r="V288" s="111"/>
      <c r="W288" s="111"/>
    </row>
    <row r="289" spans="1:23" s="112" customFormat="1" ht="135.75" customHeight="1" x14ac:dyDescent="0.3">
      <c r="A289" s="287"/>
      <c r="B289" s="372"/>
      <c r="C289" s="84" t="s">
        <v>282</v>
      </c>
      <c r="D289" s="154"/>
      <c r="E289" s="147" t="s">
        <v>114</v>
      </c>
      <c r="F289" s="170"/>
      <c r="G289" s="170"/>
      <c r="H289" s="170"/>
      <c r="I289" s="170" t="s">
        <v>27</v>
      </c>
      <c r="J289" s="171">
        <v>0</v>
      </c>
      <c r="K289" s="171">
        <v>0</v>
      </c>
      <c r="L289" s="171">
        <v>197.86</v>
      </c>
      <c r="M289" s="171">
        <v>485</v>
      </c>
      <c r="N289" s="171">
        <v>485</v>
      </c>
      <c r="O289" s="171">
        <v>485</v>
      </c>
      <c r="P289" s="111"/>
      <c r="Q289" s="111"/>
      <c r="R289" s="111"/>
      <c r="S289" s="111"/>
      <c r="T289" s="111"/>
      <c r="U289" s="111"/>
      <c r="V289" s="111"/>
      <c r="W289" s="111"/>
    </row>
    <row r="290" spans="1:23" s="112" customFormat="1" ht="45" customHeight="1" x14ac:dyDescent="0.3">
      <c r="A290" s="287"/>
      <c r="B290" s="380"/>
      <c r="C290" s="212" t="s">
        <v>300</v>
      </c>
      <c r="D290" s="214" t="s">
        <v>541</v>
      </c>
      <c r="E290" s="82" t="s">
        <v>566</v>
      </c>
      <c r="F290" s="170"/>
      <c r="G290" s="170"/>
      <c r="H290" s="170"/>
      <c r="I290" s="170" t="s">
        <v>31</v>
      </c>
      <c r="J290" s="171">
        <v>0</v>
      </c>
      <c r="K290" s="171">
        <v>0</v>
      </c>
      <c r="L290" s="171">
        <v>162</v>
      </c>
      <c r="M290" s="171">
        <v>252.6</v>
      </c>
      <c r="N290" s="171">
        <v>168.4</v>
      </c>
      <c r="O290" s="171">
        <v>168.4</v>
      </c>
      <c r="P290" s="111"/>
      <c r="Q290" s="111"/>
      <c r="R290" s="111"/>
      <c r="S290" s="111"/>
      <c r="T290" s="111"/>
      <c r="U290" s="111"/>
      <c r="V290" s="111"/>
      <c r="W290" s="111"/>
    </row>
    <row r="291" spans="1:23" s="106" customFormat="1" ht="63.75" customHeight="1" x14ac:dyDescent="0.3">
      <c r="A291" s="379">
        <v>902</v>
      </c>
      <c r="B291" s="378" t="s">
        <v>567</v>
      </c>
      <c r="C291" s="225" t="s">
        <v>568</v>
      </c>
      <c r="D291" s="289" t="s">
        <v>569</v>
      </c>
      <c r="E291" s="115" t="s">
        <v>570</v>
      </c>
      <c r="F291" s="177" t="s">
        <v>19</v>
      </c>
      <c r="G291" s="177" t="s">
        <v>72</v>
      </c>
      <c r="H291" s="177" t="s">
        <v>571</v>
      </c>
      <c r="I291" s="177"/>
      <c r="J291" s="178">
        <f>J292+J293+J294</f>
        <v>63</v>
      </c>
      <c r="K291" s="178">
        <f t="shared" ref="K291:O291" si="69">K292+K293+K294</f>
        <v>0</v>
      </c>
      <c r="L291" s="178">
        <f t="shared" si="69"/>
        <v>63</v>
      </c>
      <c r="M291" s="178">
        <f t="shared" si="69"/>
        <v>252</v>
      </c>
      <c r="N291" s="178">
        <f t="shared" si="69"/>
        <v>252</v>
      </c>
      <c r="O291" s="178">
        <f t="shared" si="69"/>
        <v>252</v>
      </c>
      <c r="P291" s="105"/>
      <c r="Q291" s="105"/>
      <c r="R291" s="105"/>
      <c r="S291" s="105"/>
      <c r="T291" s="105"/>
      <c r="U291" s="105"/>
      <c r="V291" s="105"/>
      <c r="W291" s="105"/>
    </row>
    <row r="292" spans="1:23" s="112" customFormat="1" ht="88.5" customHeight="1" x14ac:dyDescent="0.3">
      <c r="A292" s="372"/>
      <c r="B292" s="389"/>
      <c r="C292" s="82" t="s">
        <v>111</v>
      </c>
      <c r="D292" s="86" t="s">
        <v>99</v>
      </c>
      <c r="E292" s="82" t="s">
        <v>112</v>
      </c>
      <c r="F292" s="170"/>
      <c r="G292" s="170"/>
      <c r="H292" s="170"/>
      <c r="I292" s="170" t="s">
        <v>26</v>
      </c>
      <c r="J292" s="171">
        <v>41.9</v>
      </c>
      <c r="K292" s="171">
        <v>0</v>
      </c>
      <c r="L292" s="171">
        <v>44</v>
      </c>
      <c r="M292" s="171">
        <v>176</v>
      </c>
      <c r="N292" s="171">
        <v>176</v>
      </c>
      <c r="O292" s="171">
        <v>176</v>
      </c>
      <c r="P292" s="111"/>
      <c r="Q292" s="111"/>
      <c r="R292" s="111"/>
      <c r="S292" s="111"/>
      <c r="T292" s="111"/>
      <c r="U292" s="111"/>
      <c r="V292" s="111"/>
      <c r="W292" s="111"/>
    </row>
    <row r="293" spans="1:23" s="112" customFormat="1" ht="128.25" customHeight="1" x14ac:dyDescent="0.3">
      <c r="A293" s="372"/>
      <c r="B293" s="389"/>
      <c r="C293" s="84" t="s">
        <v>282</v>
      </c>
      <c r="D293" s="154"/>
      <c r="E293" s="147" t="s">
        <v>299</v>
      </c>
      <c r="F293" s="170"/>
      <c r="G293" s="170"/>
      <c r="H293" s="170"/>
      <c r="I293" s="170" t="s">
        <v>27</v>
      </c>
      <c r="J293" s="171">
        <v>18.100000000000001</v>
      </c>
      <c r="K293" s="171">
        <v>0</v>
      </c>
      <c r="L293" s="171">
        <v>19</v>
      </c>
      <c r="M293" s="171">
        <v>76</v>
      </c>
      <c r="N293" s="171">
        <v>76</v>
      </c>
      <c r="O293" s="171">
        <v>76</v>
      </c>
      <c r="P293" s="111"/>
      <c r="Q293" s="111"/>
      <c r="R293" s="111"/>
      <c r="S293" s="111"/>
      <c r="T293" s="111"/>
      <c r="U293" s="111"/>
      <c r="V293" s="111"/>
      <c r="W293" s="111"/>
    </row>
    <row r="294" spans="1:23" s="112" customFormat="1" ht="42.6" customHeight="1" x14ac:dyDescent="0.3">
      <c r="A294" s="372"/>
      <c r="B294" s="390"/>
      <c r="C294" s="212" t="s">
        <v>300</v>
      </c>
      <c r="D294" s="82" t="s">
        <v>347</v>
      </c>
      <c r="E294" s="147" t="s">
        <v>572</v>
      </c>
      <c r="F294" s="170"/>
      <c r="G294" s="170"/>
      <c r="H294" s="170"/>
      <c r="I294" s="170" t="s">
        <v>31</v>
      </c>
      <c r="J294" s="171">
        <v>3</v>
      </c>
      <c r="K294" s="171">
        <v>0</v>
      </c>
      <c r="L294" s="171">
        <v>0</v>
      </c>
      <c r="M294" s="171">
        <v>0</v>
      </c>
      <c r="N294" s="171">
        <v>0</v>
      </c>
      <c r="O294" s="171">
        <v>0</v>
      </c>
      <c r="P294" s="111"/>
      <c r="Q294" s="111"/>
      <c r="R294" s="111"/>
      <c r="S294" s="111"/>
      <c r="T294" s="111"/>
      <c r="U294" s="111"/>
      <c r="V294" s="111"/>
      <c r="W294" s="111"/>
    </row>
    <row r="295" spans="1:23" s="216" customFormat="1" ht="64.5" customHeight="1" x14ac:dyDescent="0.3">
      <c r="A295" s="372"/>
      <c r="B295" s="397" t="s">
        <v>573</v>
      </c>
      <c r="C295" s="176" t="s">
        <v>574</v>
      </c>
      <c r="D295" s="289" t="s">
        <v>569</v>
      </c>
      <c r="E295" s="290" t="s">
        <v>570</v>
      </c>
      <c r="F295" s="231" t="s">
        <v>19</v>
      </c>
      <c r="G295" s="231" t="s">
        <v>72</v>
      </c>
      <c r="H295" s="231" t="s">
        <v>575</v>
      </c>
      <c r="I295" s="231"/>
      <c r="J295" s="310">
        <f>SUM(J296:J299)</f>
        <v>729.9</v>
      </c>
      <c r="K295" s="310">
        <f t="shared" ref="K295:O295" si="70">SUM(K296:K299)</f>
        <v>729.9</v>
      </c>
      <c r="L295" s="310">
        <f t="shared" si="70"/>
        <v>755.79</v>
      </c>
      <c r="M295" s="310">
        <f t="shared" si="70"/>
        <v>933.5</v>
      </c>
      <c r="N295" s="310">
        <f t="shared" si="70"/>
        <v>979.80000000000007</v>
      </c>
      <c r="O295" s="310">
        <f t="shared" si="70"/>
        <v>979.80000000000007</v>
      </c>
      <c r="P295" s="215"/>
      <c r="Q295" s="215"/>
      <c r="R295" s="215"/>
      <c r="S295" s="215"/>
      <c r="T295" s="215"/>
      <c r="U295" s="215"/>
      <c r="V295" s="215"/>
      <c r="W295" s="215"/>
    </row>
    <row r="296" spans="1:23" s="112" customFormat="1" ht="129" customHeight="1" x14ac:dyDescent="0.3">
      <c r="A296" s="372"/>
      <c r="B296" s="398"/>
      <c r="C296" s="82" t="s">
        <v>111</v>
      </c>
      <c r="D296" s="86" t="s">
        <v>99</v>
      </c>
      <c r="E296" s="82" t="s">
        <v>112</v>
      </c>
      <c r="F296" s="170"/>
      <c r="G296" s="170"/>
      <c r="H296" s="170"/>
      <c r="I296" s="170" t="s">
        <v>26</v>
      </c>
      <c r="J296" s="171">
        <v>491.3</v>
      </c>
      <c r="K296" s="171">
        <v>491.3</v>
      </c>
      <c r="L296" s="171">
        <v>524.11</v>
      </c>
      <c r="M296" s="171">
        <v>598.29999999999995</v>
      </c>
      <c r="N296" s="171">
        <v>644.6</v>
      </c>
      <c r="O296" s="171">
        <v>644.6</v>
      </c>
      <c r="P296" s="111"/>
      <c r="Q296" s="111"/>
      <c r="R296" s="111"/>
      <c r="S296" s="111"/>
      <c r="T296" s="111"/>
      <c r="U296" s="111"/>
      <c r="V296" s="111"/>
      <c r="W296" s="111"/>
    </row>
    <row r="297" spans="1:23" s="112" customFormat="1" ht="82.5" customHeight="1" x14ac:dyDescent="0.3">
      <c r="A297" s="372"/>
      <c r="B297" s="398"/>
      <c r="C297" s="80" t="s">
        <v>562</v>
      </c>
      <c r="D297" s="81" t="s">
        <v>65</v>
      </c>
      <c r="E297" s="82" t="s">
        <v>107</v>
      </c>
      <c r="F297" s="170"/>
      <c r="G297" s="170"/>
      <c r="H297" s="170"/>
      <c r="I297" s="170" t="s">
        <v>28</v>
      </c>
      <c r="J297" s="171">
        <v>0</v>
      </c>
      <c r="K297" s="171">
        <v>0</v>
      </c>
      <c r="L297" s="171">
        <v>0</v>
      </c>
      <c r="M297" s="171">
        <v>0</v>
      </c>
      <c r="N297" s="171">
        <v>0</v>
      </c>
      <c r="O297" s="171">
        <v>0</v>
      </c>
      <c r="P297" s="111"/>
      <c r="Q297" s="111"/>
      <c r="R297" s="111"/>
      <c r="S297" s="111"/>
      <c r="T297" s="111"/>
      <c r="U297" s="111"/>
      <c r="V297" s="111"/>
      <c r="W297" s="111"/>
    </row>
    <row r="298" spans="1:23" s="112" customFormat="1" ht="136.5" customHeight="1" x14ac:dyDescent="0.3">
      <c r="A298" s="372"/>
      <c r="B298" s="398"/>
      <c r="C298" s="84" t="s">
        <v>282</v>
      </c>
      <c r="D298" s="147"/>
      <c r="E298" s="147" t="s">
        <v>576</v>
      </c>
      <c r="F298" s="170"/>
      <c r="G298" s="170"/>
      <c r="H298" s="170"/>
      <c r="I298" s="170" t="s">
        <v>27</v>
      </c>
      <c r="J298" s="171">
        <v>157.6</v>
      </c>
      <c r="K298" s="171">
        <v>157.6</v>
      </c>
      <c r="L298" s="171">
        <v>150.68</v>
      </c>
      <c r="M298" s="171">
        <v>251</v>
      </c>
      <c r="N298" s="171">
        <v>251</v>
      </c>
      <c r="O298" s="171">
        <v>251</v>
      </c>
      <c r="P298" s="111"/>
      <c r="Q298" s="111"/>
      <c r="R298" s="111"/>
      <c r="S298" s="111"/>
      <c r="T298" s="111"/>
      <c r="U298" s="111"/>
      <c r="V298" s="111"/>
      <c r="W298" s="111"/>
    </row>
    <row r="299" spans="1:23" s="112" customFormat="1" ht="48.75" customHeight="1" x14ac:dyDescent="0.3">
      <c r="A299" s="372"/>
      <c r="B299" s="399"/>
      <c r="C299" s="212" t="s">
        <v>300</v>
      </c>
      <c r="D299" s="82" t="s">
        <v>347</v>
      </c>
      <c r="E299" s="147" t="s">
        <v>577</v>
      </c>
      <c r="F299" s="170"/>
      <c r="G299" s="170"/>
      <c r="H299" s="170"/>
      <c r="I299" s="170" t="s">
        <v>31</v>
      </c>
      <c r="J299" s="171">
        <v>81</v>
      </c>
      <c r="K299" s="171">
        <v>81</v>
      </c>
      <c r="L299" s="171">
        <v>81</v>
      </c>
      <c r="M299" s="171">
        <v>84.2</v>
      </c>
      <c r="N299" s="171">
        <v>84.2</v>
      </c>
      <c r="O299" s="171">
        <v>84.2</v>
      </c>
      <c r="P299" s="111"/>
      <c r="Q299" s="111"/>
      <c r="R299" s="111"/>
      <c r="S299" s="111"/>
      <c r="T299" s="111"/>
      <c r="U299" s="111"/>
      <c r="V299" s="111"/>
      <c r="W299" s="111"/>
    </row>
    <row r="300" spans="1:23" s="112" customFormat="1" ht="75.75" customHeight="1" x14ac:dyDescent="0.3">
      <c r="A300" s="372"/>
      <c r="B300" s="373" t="s">
        <v>578</v>
      </c>
      <c r="C300" s="225" t="s">
        <v>579</v>
      </c>
      <c r="D300" s="289" t="s">
        <v>569</v>
      </c>
      <c r="E300" s="142" t="s">
        <v>580</v>
      </c>
      <c r="F300" s="177" t="s">
        <v>19</v>
      </c>
      <c r="G300" s="177" t="s">
        <v>72</v>
      </c>
      <c r="H300" s="177" t="s">
        <v>581</v>
      </c>
      <c r="I300" s="177"/>
      <c r="J300" s="178">
        <f>J301+J302+J303</f>
        <v>0</v>
      </c>
      <c r="K300" s="178">
        <f t="shared" ref="K300" si="71">K301+K302+K303</f>
        <v>0</v>
      </c>
      <c r="L300" s="178">
        <f>SUM(L301:L303)</f>
        <v>0</v>
      </c>
      <c r="M300" s="178">
        <f t="shared" ref="M300:O300" si="72">SUM(M301:M303)</f>
        <v>0</v>
      </c>
      <c r="N300" s="178">
        <f t="shared" si="72"/>
        <v>0</v>
      </c>
      <c r="O300" s="178">
        <f t="shared" si="72"/>
        <v>0</v>
      </c>
      <c r="P300" s="111"/>
      <c r="Q300" s="111"/>
      <c r="R300" s="111"/>
      <c r="S300" s="111"/>
      <c r="T300" s="111"/>
      <c r="U300" s="111"/>
      <c r="V300" s="111"/>
      <c r="W300" s="111"/>
    </row>
    <row r="301" spans="1:23" s="112" customFormat="1" ht="122.25" customHeight="1" x14ac:dyDescent="0.3">
      <c r="A301" s="291"/>
      <c r="B301" s="373"/>
      <c r="C301" s="82" t="s">
        <v>111</v>
      </c>
      <c r="D301" s="154"/>
      <c r="E301" s="82" t="s">
        <v>112</v>
      </c>
      <c r="F301" s="170"/>
      <c r="G301" s="170"/>
      <c r="H301" s="170"/>
      <c r="I301" s="170" t="s">
        <v>26</v>
      </c>
      <c r="J301" s="171">
        <v>0</v>
      </c>
      <c r="K301" s="171">
        <v>0</v>
      </c>
      <c r="L301" s="171">
        <v>0</v>
      </c>
      <c r="M301" s="171">
        <v>0</v>
      </c>
      <c r="N301" s="171">
        <v>0</v>
      </c>
      <c r="O301" s="171">
        <v>0</v>
      </c>
      <c r="P301" s="111"/>
      <c r="Q301" s="111"/>
      <c r="R301" s="111"/>
      <c r="S301" s="111"/>
      <c r="T301" s="111"/>
      <c r="U301" s="111"/>
      <c r="V301" s="111"/>
      <c r="W301" s="111"/>
    </row>
    <row r="302" spans="1:23" s="112" customFormat="1" ht="105" customHeight="1" x14ac:dyDescent="0.3">
      <c r="A302" s="291"/>
      <c r="B302" s="373"/>
      <c r="C302" s="159" t="s">
        <v>520</v>
      </c>
      <c r="D302" s="154"/>
      <c r="E302" s="147" t="s">
        <v>582</v>
      </c>
      <c r="F302" s="170"/>
      <c r="G302" s="170"/>
      <c r="H302" s="170"/>
      <c r="I302" s="170" t="s">
        <v>27</v>
      </c>
      <c r="J302" s="171">
        <v>0</v>
      </c>
      <c r="K302" s="171">
        <v>0</v>
      </c>
      <c r="L302" s="171">
        <v>0</v>
      </c>
      <c r="M302" s="171">
        <v>0</v>
      </c>
      <c r="N302" s="171">
        <v>0</v>
      </c>
      <c r="O302" s="171">
        <v>0</v>
      </c>
      <c r="P302" s="111"/>
      <c r="Q302" s="111"/>
      <c r="R302" s="111"/>
      <c r="S302" s="111"/>
      <c r="T302" s="111"/>
      <c r="U302" s="111"/>
      <c r="V302" s="111"/>
      <c r="W302" s="111"/>
    </row>
    <row r="303" spans="1:23" s="112" customFormat="1" ht="39" customHeight="1" x14ac:dyDescent="0.3">
      <c r="A303" s="292"/>
      <c r="B303" s="374"/>
      <c r="C303" s="212" t="s">
        <v>300</v>
      </c>
      <c r="D303" s="154"/>
      <c r="E303" s="147" t="s">
        <v>572</v>
      </c>
      <c r="F303" s="170"/>
      <c r="G303" s="170"/>
      <c r="H303" s="170"/>
      <c r="I303" s="170" t="s">
        <v>31</v>
      </c>
      <c r="J303" s="171">
        <v>0</v>
      </c>
      <c r="K303" s="171">
        <v>0</v>
      </c>
      <c r="L303" s="171">
        <v>0</v>
      </c>
      <c r="M303" s="171">
        <v>0</v>
      </c>
      <c r="N303" s="171">
        <v>0</v>
      </c>
      <c r="O303" s="171">
        <v>0</v>
      </c>
      <c r="P303" s="111"/>
      <c r="Q303" s="111"/>
      <c r="R303" s="111"/>
      <c r="S303" s="111"/>
      <c r="T303" s="111"/>
      <c r="U303" s="111"/>
      <c r="V303" s="111"/>
      <c r="W303" s="111"/>
    </row>
    <row r="304" spans="1:23" s="112" customFormat="1" ht="84" customHeight="1" x14ac:dyDescent="0.3">
      <c r="A304" s="179"/>
      <c r="B304" s="378" t="s">
        <v>583</v>
      </c>
      <c r="C304" s="176" t="s">
        <v>584</v>
      </c>
      <c r="D304" s="262"/>
      <c r="E304" s="263" t="s">
        <v>585</v>
      </c>
      <c r="F304" s="311" t="s">
        <v>19</v>
      </c>
      <c r="G304" s="311" t="s">
        <v>72</v>
      </c>
      <c r="H304" s="311" t="s">
        <v>586</v>
      </c>
      <c r="I304" s="311"/>
      <c r="J304" s="227">
        <f t="shared" ref="J304:O304" si="73">J305+J306+J307+J308</f>
        <v>1459.6</v>
      </c>
      <c r="K304" s="227">
        <f t="shared" si="73"/>
        <v>974.2</v>
      </c>
      <c r="L304" s="227">
        <f t="shared" si="73"/>
        <v>1511.6</v>
      </c>
      <c r="M304" s="227">
        <f t="shared" si="73"/>
        <v>1866.8000000000002</v>
      </c>
      <c r="N304" s="227">
        <f t="shared" si="73"/>
        <v>1959.2000000000003</v>
      </c>
      <c r="O304" s="227">
        <f t="shared" si="73"/>
        <v>1959.2000000000003</v>
      </c>
      <c r="P304" s="129"/>
      <c r="Q304" s="111"/>
      <c r="R304" s="111"/>
      <c r="S304" s="111"/>
      <c r="T304" s="111"/>
      <c r="U304" s="111"/>
      <c r="V304" s="111"/>
      <c r="W304" s="111"/>
    </row>
    <row r="305" spans="1:23" s="112" customFormat="1" ht="86.25" customHeight="1" x14ac:dyDescent="0.3">
      <c r="A305" s="179"/>
      <c r="B305" s="373"/>
      <c r="C305" s="82" t="s">
        <v>111</v>
      </c>
      <c r="D305" s="154"/>
      <c r="E305" s="82" t="s">
        <v>112</v>
      </c>
      <c r="F305" s="170"/>
      <c r="G305" s="170"/>
      <c r="H305" s="170"/>
      <c r="I305" s="170" t="s">
        <v>26</v>
      </c>
      <c r="J305" s="171">
        <v>947.6</v>
      </c>
      <c r="K305" s="171">
        <v>671.2</v>
      </c>
      <c r="L305" s="171">
        <v>942.1</v>
      </c>
      <c r="M305" s="171">
        <v>1190.5</v>
      </c>
      <c r="N305" s="171">
        <v>1282.9000000000001</v>
      </c>
      <c r="O305" s="171">
        <v>1282.9000000000001</v>
      </c>
      <c r="P305" s="111"/>
      <c r="Q305" s="111"/>
      <c r="R305" s="111"/>
      <c r="S305" s="111"/>
      <c r="T305" s="111"/>
      <c r="U305" s="111"/>
      <c r="V305" s="111"/>
      <c r="W305" s="111"/>
    </row>
    <row r="306" spans="1:23" s="112" customFormat="1" ht="108.75" customHeight="1" x14ac:dyDescent="0.3">
      <c r="A306" s="179"/>
      <c r="B306" s="373"/>
      <c r="C306" s="80" t="s">
        <v>562</v>
      </c>
      <c r="D306" s="81" t="s">
        <v>65</v>
      </c>
      <c r="E306" s="82" t="s">
        <v>107</v>
      </c>
      <c r="F306" s="170"/>
      <c r="G306" s="170"/>
      <c r="H306" s="170"/>
      <c r="I306" s="170" t="s">
        <v>28</v>
      </c>
      <c r="J306" s="171">
        <v>0</v>
      </c>
      <c r="K306" s="171">
        <v>0</v>
      </c>
      <c r="L306" s="171">
        <v>0</v>
      </c>
      <c r="M306" s="171">
        <v>0</v>
      </c>
      <c r="N306" s="171">
        <v>0</v>
      </c>
      <c r="O306" s="171">
        <v>0</v>
      </c>
      <c r="P306" s="111"/>
      <c r="Q306" s="111"/>
      <c r="R306" s="111"/>
      <c r="S306" s="111"/>
      <c r="T306" s="111"/>
      <c r="U306" s="111"/>
      <c r="V306" s="111"/>
      <c r="W306" s="111"/>
    </row>
    <row r="307" spans="1:23" s="112" customFormat="1" ht="98.25" customHeight="1" x14ac:dyDescent="0.3">
      <c r="A307" s="179"/>
      <c r="B307" s="373"/>
      <c r="C307" s="84" t="s">
        <v>282</v>
      </c>
      <c r="D307" s="154"/>
      <c r="E307" s="147" t="s">
        <v>587</v>
      </c>
      <c r="F307" s="170"/>
      <c r="G307" s="170"/>
      <c r="H307" s="170"/>
      <c r="I307" s="170" t="s">
        <v>27</v>
      </c>
      <c r="J307" s="171">
        <v>350</v>
      </c>
      <c r="K307" s="171">
        <v>200.6</v>
      </c>
      <c r="L307" s="171">
        <v>407.5</v>
      </c>
      <c r="M307" s="171">
        <v>507.9</v>
      </c>
      <c r="N307" s="171">
        <v>507.9</v>
      </c>
      <c r="O307" s="171">
        <v>507.9</v>
      </c>
      <c r="P307" s="111"/>
      <c r="Q307" s="111"/>
      <c r="R307" s="111"/>
      <c r="S307" s="111"/>
      <c r="T307" s="111"/>
      <c r="U307" s="111"/>
      <c r="V307" s="111"/>
      <c r="W307" s="111"/>
    </row>
    <row r="308" spans="1:23" s="112" customFormat="1" ht="42.6" customHeight="1" x14ac:dyDescent="0.3">
      <c r="A308" s="179"/>
      <c r="B308" s="374"/>
      <c r="C308" s="212" t="s">
        <v>300</v>
      </c>
      <c r="D308" s="81" t="s">
        <v>541</v>
      </c>
      <c r="E308" s="147" t="s">
        <v>577</v>
      </c>
      <c r="F308" s="170"/>
      <c r="G308" s="170"/>
      <c r="H308" s="170"/>
      <c r="I308" s="170" t="s">
        <v>31</v>
      </c>
      <c r="J308" s="171">
        <v>162</v>
      </c>
      <c r="K308" s="171">
        <v>102.4</v>
      </c>
      <c r="L308" s="171">
        <v>162</v>
      </c>
      <c r="M308" s="171">
        <v>168.4</v>
      </c>
      <c r="N308" s="171">
        <v>168.4</v>
      </c>
      <c r="O308" s="171">
        <v>168.4</v>
      </c>
      <c r="P308" s="111"/>
      <c r="Q308" s="111"/>
      <c r="R308" s="111"/>
      <c r="S308" s="111"/>
      <c r="T308" s="111"/>
      <c r="U308" s="111"/>
      <c r="V308" s="111"/>
      <c r="W308" s="111"/>
    </row>
    <row r="309" spans="1:23" s="209" customFormat="1" ht="82.5" customHeight="1" x14ac:dyDescent="0.3">
      <c r="A309" s="379">
        <v>902</v>
      </c>
      <c r="B309" s="391" t="s">
        <v>492</v>
      </c>
      <c r="C309" s="269" t="s">
        <v>588</v>
      </c>
      <c r="D309" s="226" t="s">
        <v>494</v>
      </c>
      <c r="E309" s="142" t="s">
        <v>589</v>
      </c>
      <c r="F309" s="177" t="s">
        <v>125</v>
      </c>
      <c r="G309" s="177" t="s">
        <v>19</v>
      </c>
      <c r="H309" s="166"/>
      <c r="I309" s="166"/>
      <c r="J309" s="178">
        <f t="shared" ref="J309:O309" si="74">SUM(J310:J310)</f>
        <v>700.7</v>
      </c>
      <c r="K309" s="178">
        <f t="shared" si="74"/>
        <v>700.7</v>
      </c>
      <c r="L309" s="178">
        <f t="shared" si="74"/>
        <v>810.32</v>
      </c>
      <c r="M309" s="178">
        <f t="shared" si="74"/>
        <v>778.9</v>
      </c>
      <c r="N309" s="178">
        <f t="shared" si="74"/>
        <v>811.6</v>
      </c>
      <c r="O309" s="178">
        <f t="shared" si="74"/>
        <v>844.9</v>
      </c>
      <c r="P309" s="206"/>
      <c r="Q309" s="206"/>
      <c r="R309" s="206"/>
      <c r="S309" s="206"/>
      <c r="T309" s="206"/>
      <c r="U309" s="206"/>
      <c r="V309" s="206"/>
      <c r="W309" s="206"/>
    </row>
    <row r="310" spans="1:23" s="112" customFormat="1" ht="43.5" customHeight="1" x14ac:dyDescent="0.3">
      <c r="A310" s="380"/>
      <c r="B310" s="392"/>
      <c r="C310" s="212" t="s">
        <v>300</v>
      </c>
      <c r="D310" s="82" t="s">
        <v>590</v>
      </c>
      <c r="E310" s="82" t="s">
        <v>591</v>
      </c>
      <c r="F310" s="170" t="s">
        <v>125</v>
      </c>
      <c r="G310" s="170" t="s">
        <v>19</v>
      </c>
      <c r="H310" s="166" t="s">
        <v>592</v>
      </c>
      <c r="I310" s="166" t="s">
        <v>31</v>
      </c>
      <c r="J310" s="167">
        <v>700.7</v>
      </c>
      <c r="K310" s="167">
        <v>700.7</v>
      </c>
      <c r="L310" s="167">
        <v>810.32</v>
      </c>
      <c r="M310" s="167">
        <v>778.9</v>
      </c>
      <c r="N310" s="167">
        <v>811.6</v>
      </c>
      <c r="O310" s="167">
        <v>844.9</v>
      </c>
      <c r="P310" s="111"/>
      <c r="Q310" s="111"/>
      <c r="R310" s="111"/>
      <c r="S310" s="111"/>
      <c r="T310" s="111"/>
      <c r="U310" s="111"/>
      <c r="V310" s="111"/>
      <c r="W310" s="111"/>
    </row>
    <row r="311" spans="1:23" s="112" customFormat="1" ht="94.5" customHeight="1" x14ac:dyDescent="0.3">
      <c r="A311" s="283">
        <v>902</v>
      </c>
      <c r="B311" s="293" t="s">
        <v>593</v>
      </c>
      <c r="C311" s="115" t="s">
        <v>594</v>
      </c>
      <c r="D311" s="115" t="s">
        <v>595</v>
      </c>
      <c r="E311" s="115" t="s">
        <v>596</v>
      </c>
      <c r="F311" s="177" t="s">
        <v>125</v>
      </c>
      <c r="G311" s="177" t="s">
        <v>60</v>
      </c>
      <c r="H311" s="177" t="s">
        <v>597</v>
      </c>
      <c r="I311" s="177" t="s">
        <v>31</v>
      </c>
      <c r="J311" s="178">
        <v>252</v>
      </c>
      <c r="K311" s="178">
        <v>252</v>
      </c>
      <c r="L311" s="178"/>
      <c r="M311" s="178">
        <v>0</v>
      </c>
      <c r="N311" s="178">
        <v>0</v>
      </c>
      <c r="O311" s="178">
        <v>0</v>
      </c>
      <c r="P311" s="129"/>
      <c r="Q311" s="111"/>
      <c r="R311" s="111"/>
      <c r="S311" s="111"/>
      <c r="T311" s="111"/>
      <c r="U311" s="111"/>
      <c r="V311" s="111"/>
      <c r="W311" s="111"/>
    </row>
    <row r="312" spans="1:23" s="106" customFormat="1" ht="105" customHeight="1" x14ac:dyDescent="0.3">
      <c r="A312" s="379">
        <v>902</v>
      </c>
      <c r="B312" s="378" t="s">
        <v>598</v>
      </c>
      <c r="C312" s="142" t="s">
        <v>599</v>
      </c>
      <c r="D312" s="93" t="s">
        <v>600</v>
      </c>
      <c r="E312" s="142" t="s">
        <v>601</v>
      </c>
      <c r="F312" s="191" t="s">
        <v>19</v>
      </c>
      <c r="G312" s="191" t="s">
        <v>72</v>
      </c>
      <c r="H312" s="191" t="s">
        <v>602</v>
      </c>
      <c r="I312" s="191"/>
      <c r="J312" s="309">
        <f>J313+J314+J315+J316</f>
        <v>729.8</v>
      </c>
      <c r="K312" s="309">
        <f t="shared" ref="K312:O312" si="75">K313+K314+K315+K316</f>
        <v>729.1</v>
      </c>
      <c r="L312" s="309">
        <f t="shared" si="75"/>
        <v>755.79</v>
      </c>
      <c r="M312" s="309">
        <f t="shared" si="75"/>
        <v>933.40000000000009</v>
      </c>
      <c r="N312" s="309">
        <f t="shared" si="75"/>
        <v>979.7</v>
      </c>
      <c r="O312" s="309">
        <f t="shared" si="75"/>
        <v>979.7</v>
      </c>
      <c r="P312" s="217"/>
      <c r="Q312" s="105"/>
      <c r="R312" s="105"/>
      <c r="S312" s="105"/>
      <c r="T312" s="105"/>
      <c r="U312" s="105"/>
      <c r="V312" s="105"/>
      <c r="W312" s="105"/>
    </row>
    <row r="313" spans="1:23" s="112" customFormat="1" ht="124.5" customHeight="1" x14ac:dyDescent="0.3">
      <c r="A313" s="372"/>
      <c r="B313" s="393"/>
      <c r="C313" s="82" t="s">
        <v>111</v>
      </c>
      <c r="D313" s="154"/>
      <c r="E313" s="82" t="s">
        <v>112</v>
      </c>
      <c r="F313" s="192"/>
      <c r="G313" s="192"/>
      <c r="H313" s="192"/>
      <c r="I313" s="192" t="s">
        <v>26</v>
      </c>
      <c r="J313" s="312">
        <v>499.4</v>
      </c>
      <c r="K313" s="312">
        <v>498.7</v>
      </c>
      <c r="L313" s="312">
        <v>529.39</v>
      </c>
      <c r="M313" s="312">
        <v>593.20000000000005</v>
      </c>
      <c r="N313" s="312">
        <v>639.5</v>
      </c>
      <c r="O313" s="312">
        <v>639.5</v>
      </c>
      <c r="P313" s="388"/>
      <c r="Q313" s="111"/>
      <c r="R313" s="111"/>
      <c r="S313" s="111"/>
      <c r="T313" s="111"/>
      <c r="U313" s="111"/>
      <c r="V313" s="111"/>
      <c r="W313" s="111"/>
    </row>
    <row r="314" spans="1:23" s="112" customFormat="1" ht="125.25" customHeight="1" x14ac:dyDescent="0.3">
      <c r="A314" s="372"/>
      <c r="B314" s="393"/>
      <c r="C314" s="82" t="s">
        <v>603</v>
      </c>
      <c r="D314" s="81" t="s">
        <v>65</v>
      </c>
      <c r="E314" s="82" t="s">
        <v>107</v>
      </c>
      <c r="F314" s="192"/>
      <c r="G314" s="192"/>
      <c r="H314" s="192"/>
      <c r="I314" s="192" t="s">
        <v>28</v>
      </c>
      <c r="J314" s="312">
        <v>0</v>
      </c>
      <c r="K314" s="312">
        <v>0</v>
      </c>
      <c r="L314" s="312">
        <v>0</v>
      </c>
      <c r="M314" s="312">
        <v>0</v>
      </c>
      <c r="N314" s="312">
        <v>0</v>
      </c>
      <c r="O314" s="312">
        <v>0</v>
      </c>
      <c r="P314" s="388"/>
      <c r="Q314" s="111"/>
      <c r="R314" s="111"/>
      <c r="S314" s="111"/>
      <c r="T314" s="111"/>
      <c r="U314" s="111"/>
      <c r="V314" s="111"/>
      <c r="W314" s="111"/>
    </row>
    <row r="315" spans="1:23" s="112" customFormat="1" ht="94.5" customHeight="1" x14ac:dyDescent="0.3">
      <c r="A315" s="372"/>
      <c r="B315" s="393"/>
      <c r="C315" s="84" t="s">
        <v>282</v>
      </c>
      <c r="D315" s="154"/>
      <c r="E315" s="147" t="s">
        <v>299</v>
      </c>
      <c r="F315" s="192"/>
      <c r="G315" s="192"/>
      <c r="H315" s="192"/>
      <c r="I315" s="192" t="s">
        <v>27</v>
      </c>
      <c r="J315" s="312">
        <v>149.4</v>
      </c>
      <c r="K315" s="312">
        <v>149.4</v>
      </c>
      <c r="L315" s="312">
        <v>145.4</v>
      </c>
      <c r="M315" s="312">
        <v>256</v>
      </c>
      <c r="N315" s="312">
        <v>256</v>
      </c>
      <c r="O315" s="312">
        <v>256</v>
      </c>
      <c r="P315" s="388"/>
      <c r="Q315" s="111"/>
      <c r="R315" s="111"/>
      <c r="S315" s="111"/>
      <c r="T315" s="111"/>
      <c r="U315" s="111"/>
      <c r="V315" s="111"/>
      <c r="W315" s="111"/>
    </row>
    <row r="316" spans="1:23" s="112" customFormat="1" ht="54" customHeight="1" x14ac:dyDescent="0.3">
      <c r="A316" s="380"/>
      <c r="B316" s="394"/>
      <c r="C316" s="212" t="s">
        <v>300</v>
      </c>
      <c r="D316" s="81" t="s">
        <v>604</v>
      </c>
      <c r="E316" s="82" t="s">
        <v>605</v>
      </c>
      <c r="F316" s="192"/>
      <c r="G316" s="192"/>
      <c r="H316" s="192"/>
      <c r="I316" s="192" t="s">
        <v>31</v>
      </c>
      <c r="J316" s="312">
        <v>81</v>
      </c>
      <c r="K316" s="312">
        <v>81</v>
      </c>
      <c r="L316" s="312">
        <v>81</v>
      </c>
      <c r="M316" s="312">
        <v>84.2</v>
      </c>
      <c r="N316" s="312">
        <v>84.2</v>
      </c>
      <c r="O316" s="312">
        <v>84.2</v>
      </c>
      <c r="P316" s="388"/>
      <c r="Q316" s="111"/>
      <c r="R316" s="111"/>
      <c r="S316" s="111"/>
      <c r="T316" s="111"/>
      <c r="U316" s="111"/>
      <c r="V316" s="111"/>
      <c r="W316" s="111"/>
    </row>
    <row r="317" spans="1:23" s="112" customFormat="1" ht="105.75" customHeight="1" x14ac:dyDescent="0.3">
      <c r="A317" s="179"/>
      <c r="B317" s="379" t="s">
        <v>606</v>
      </c>
      <c r="C317" s="294" t="s">
        <v>607</v>
      </c>
      <c r="D317" s="295"/>
      <c r="E317" s="286"/>
      <c r="F317" s="191" t="s">
        <v>72</v>
      </c>
      <c r="G317" s="191" t="s">
        <v>125</v>
      </c>
      <c r="H317" s="191" t="s">
        <v>608</v>
      </c>
      <c r="I317" s="191" t="s">
        <v>609</v>
      </c>
      <c r="J317" s="230">
        <f t="shared" ref="J317:O317" si="76">J318</f>
        <v>12870.1</v>
      </c>
      <c r="K317" s="230">
        <f t="shared" si="76"/>
        <v>12870.1</v>
      </c>
      <c r="L317" s="230">
        <f t="shared" si="76"/>
        <v>7287.5</v>
      </c>
      <c r="M317" s="230">
        <f t="shared" si="76"/>
        <v>5954.5</v>
      </c>
      <c r="N317" s="230">
        <f t="shared" si="76"/>
        <v>6224.5</v>
      </c>
      <c r="O317" s="230">
        <f t="shared" si="76"/>
        <v>6224.5</v>
      </c>
      <c r="P317" s="129"/>
      <c r="Q317" s="111"/>
      <c r="R317" s="111"/>
      <c r="S317" s="111"/>
      <c r="T317" s="111"/>
      <c r="U317" s="111"/>
      <c r="V317" s="111"/>
      <c r="W317" s="111"/>
    </row>
    <row r="318" spans="1:23" s="112" customFormat="1" ht="97.5" customHeight="1" x14ac:dyDescent="0.3">
      <c r="A318" s="179"/>
      <c r="B318" s="386"/>
      <c r="C318" s="159" t="s">
        <v>610</v>
      </c>
      <c r="D318" s="99" t="s">
        <v>611</v>
      </c>
      <c r="E318" s="82" t="s">
        <v>612</v>
      </c>
      <c r="F318" s="192"/>
      <c r="G318" s="192"/>
      <c r="H318" s="192"/>
      <c r="I318" s="192"/>
      <c r="J318" s="224">
        <v>12870.1</v>
      </c>
      <c r="K318" s="224">
        <v>12870.1</v>
      </c>
      <c r="L318" s="224">
        <v>7287.5</v>
      </c>
      <c r="M318" s="224">
        <v>5954.5</v>
      </c>
      <c r="N318" s="224">
        <v>6224.5</v>
      </c>
      <c r="O318" s="224">
        <v>6224.5</v>
      </c>
      <c r="P318" s="111"/>
      <c r="Q318" s="111"/>
      <c r="R318" s="111"/>
      <c r="S318" s="111"/>
      <c r="T318" s="111"/>
      <c r="U318" s="111"/>
      <c r="V318" s="111"/>
      <c r="W318" s="111"/>
    </row>
    <row r="319" spans="1:23" s="213" customFormat="1" ht="103.5" customHeight="1" x14ac:dyDescent="0.3">
      <c r="A319" s="296"/>
      <c r="B319" s="378" t="s">
        <v>613</v>
      </c>
      <c r="C319" s="176" t="s">
        <v>468</v>
      </c>
      <c r="D319" s="125" t="s">
        <v>469</v>
      </c>
      <c r="E319" s="251" t="s">
        <v>470</v>
      </c>
      <c r="F319" s="191" t="s">
        <v>72</v>
      </c>
      <c r="G319" s="191" t="s">
        <v>105</v>
      </c>
      <c r="H319" s="191" t="s">
        <v>614</v>
      </c>
      <c r="I319" s="191"/>
      <c r="J319" s="230">
        <f>J320+J321</f>
        <v>0</v>
      </c>
      <c r="K319" s="230">
        <f t="shared" ref="K319:O319" si="77">K320+K321</f>
        <v>0</v>
      </c>
      <c r="L319" s="230">
        <f t="shared" si="77"/>
        <v>0</v>
      </c>
      <c r="M319" s="230">
        <f t="shared" si="77"/>
        <v>1483.4</v>
      </c>
      <c r="N319" s="230">
        <f t="shared" si="77"/>
        <v>0</v>
      </c>
      <c r="O319" s="230">
        <f t="shared" si="77"/>
        <v>0</v>
      </c>
    </row>
    <row r="320" spans="1:23" s="112" customFormat="1" ht="54" customHeight="1" x14ac:dyDescent="0.3">
      <c r="A320" s="179"/>
      <c r="B320" s="373"/>
      <c r="C320" s="82" t="s">
        <v>615</v>
      </c>
      <c r="D320" s="99"/>
      <c r="E320" s="82" t="s">
        <v>197</v>
      </c>
      <c r="F320" s="192"/>
      <c r="G320" s="192"/>
      <c r="H320" s="192"/>
      <c r="I320" s="192" t="s">
        <v>31</v>
      </c>
      <c r="J320" s="224">
        <v>0</v>
      </c>
      <c r="K320" s="224">
        <v>0</v>
      </c>
      <c r="L320" s="224">
        <v>0</v>
      </c>
      <c r="M320" s="224">
        <v>1408.4</v>
      </c>
      <c r="N320" s="224">
        <v>0</v>
      </c>
      <c r="O320" s="224">
        <v>0</v>
      </c>
      <c r="P320" s="111"/>
      <c r="Q320" s="111"/>
      <c r="R320" s="111"/>
      <c r="S320" s="111"/>
      <c r="T320" s="111"/>
      <c r="U320" s="111"/>
      <c r="V320" s="111"/>
      <c r="W320" s="111"/>
    </row>
    <row r="321" spans="1:23" s="112" customFormat="1" ht="54" customHeight="1" x14ac:dyDescent="0.3">
      <c r="A321" s="179"/>
      <c r="B321" s="374"/>
      <c r="C321" s="82" t="s">
        <v>615</v>
      </c>
      <c r="D321" s="99"/>
      <c r="E321" s="82" t="s">
        <v>197</v>
      </c>
      <c r="F321" s="192"/>
      <c r="G321" s="192"/>
      <c r="H321" s="192"/>
      <c r="I321" s="192" t="s">
        <v>31</v>
      </c>
      <c r="J321" s="224">
        <v>0</v>
      </c>
      <c r="K321" s="224">
        <v>0</v>
      </c>
      <c r="L321" s="224">
        <v>0</v>
      </c>
      <c r="M321" s="224">
        <v>75</v>
      </c>
      <c r="N321" s="224">
        <v>0</v>
      </c>
      <c r="O321" s="224">
        <v>0</v>
      </c>
      <c r="P321" s="111"/>
      <c r="Q321" s="111"/>
      <c r="R321" s="111"/>
      <c r="S321" s="111"/>
      <c r="T321" s="111"/>
      <c r="U321" s="111"/>
      <c r="V321" s="111"/>
      <c r="W321" s="111"/>
    </row>
    <row r="322" spans="1:23" s="209" customFormat="1" ht="105.75" customHeight="1" x14ac:dyDescent="0.3">
      <c r="A322" s="379">
        <v>902</v>
      </c>
      <c r="B322" s="378" t="s">
        <v>616</v>
      </c>
      <c r="C322" s="269" t="s">
        <v>617</v>
      </c>
      <c r="D322" s="93" t="s">
        <v>618</v>
      </c>
      <c r="E322" s="142" t="s">
        <v>619</v>
      </c>
      <c r="F322" s="177" t="s">
        <v>19</v>
      </c>
      <c r="G322" s="177" t="s">
        <v>72</v>
      </c>
      <c r="H322" s="177" t="s">
        <v>620</v>
      </c>
      <c r="I322" s="192"/>
      <c r="J322" s="309">
        <f>J323+J324+J325</f>
        <v>730</v>
      </c>
      <c r="K322" s="309">
        <f t="shared" ref="K322:O322" si="78">K323+K324+K325</f>
        <v>729.9</v>
      </c>
      <c r="L322" s="309">
        <f t="shared" si="78"/>
        <v>0</v>
      </c>
      <c r="M322" s="309">
        <f t="shared" si="78"/>
        <v>0</v>
      </c>
      <c r="N322" s="309">
        <f t="shared" si="78"/>
        <v>0</v>
      </c>
      <c r="O322" s="309">
        <f t="shared" si="78"/>
        <v>0</v>
      </c>
      <c r="P322" s="206"/>
      <c r="Q322" s="206"/>
      <c r="R322" s="206"/>
      <c r="S322" s="206"/>
      <c r="T322" s="206"/>
      <c r="U322" s="206"/>
      <c r="V322" s="206"/>
      <c r="W322" s="206"/>
    </row>
    <row r="323" spans="1:23" s="112" customFormat="1" ht="117" customHeight="1" x14ac:dyDescent="0.3">
      <c r="A323" s="372"/>
      <c r="B323" s="389"/>
      <c r="C323" s="82" t="s">
        <v>111</v>
      </c>
      <c r="D323" s="154"/>
      <c r="E323" s="82" t="s">
        <v>112</v>
      </c>
      <c r="F323" s="170"/>
      <c r="G323" s="170"/>
      <c r="H323" s="170"/>
      <c r="I323" s="166" t="s">
        <v>26</v>
      </c>
      <c r="J323" s="312">
        <v>500.3</v>
      </c>
      <c r="K323" s="312">
        <v>500.2</v>
      </c>
      <c r="L323" s="312">
        <v>0</v>
      </c>
      <c r="M323" s="312">
        <v>0</v>
      </c>
      <c r="N323" s="312">
        <v>0</v>
      </c>
      <c r="O323" s="312">
        <v>0</v>
      </c>
      <c r="P323" s="111"/>
      <c r="Q323" s="111"/>
      <c r="R323" s="111"/>
      <c r="S323" s="111"/>
      <c r="T323" s="111"/>
      <c r="U323" s="111"/>
      <c r="V323" s="111"/>
      <c r="W323" s="111"/>
    </row>
    <row r="324" spans="1:23" s="112" customFormat="1" ht="110.25" customHeight="1" x14ac:dyDescent="0.3">
      <c r="A324" s="372"/>
      <c r="B324" s="389"/>
      <c r="C324" s="84" t="s">
        <v>282</v>
      </c>
      <c r="D324" s="154"/>
      <c r="E324" s="147" t="s">
        <v>621</v>
      </c>
      <c r="F324" s="170"/>
      <c r="G324" s="170"/>
      <c r="H324" s="170"/>
      <c r="I324" s="166" t="s">
        <v>27</v>
      </c>
      <c r="J324" s="312">
        <v>148.69999999999999</v>
      </c>
      <c r="K324" s="312">
        <v>148.69999999999999</v>
      </c>
      <c r="L324" s="312">
        <v>0</v>
      </c>
      <c r="M324" s="312">
        <v>0</v>
      </c>
      <c r="N324" s="312">
        <v>0</v>
      </c>
      <c r="O324" s="312">
        <v>0</v>
      </c>
      <c r="P324" s="111"/>
      <c r="Q324" s="111"/>
      <c r="R324" s="111"/>
      <c r="S324" s="111"/>
      <c r="T324" s="111"/>
      <c r="U324" s="111"/>
      <c r="V324" s="111"/>
      <c r="W324" s="111"/>
    </row>
    <row r="325" spans="1:23" s="112" customFormat="1" ht="43.9" customHeight="1" x14ac:dyDescent="0.3">
      <c r="A325" s="380"/>
      <c r="B325" s="390"/>
      <c r="C325" s="212" t="s">
        <v>300</v>
      </c>
      <c r="D325" s="81" t="s">
        <v>604</v>
      </c>
      <c r="E325" s="82" t="s">
        <v>566</v>
      </c>
      <c r="F325" s="170"/>
      <c r="G325" s="170"/>
      <c r="H325" s="170"/>
      <c r="I325" s="166" t="s">
        <v>31</v>
      </c>
      <c r="J325" s="312">
        <v>81</v>
      </c>
      <c r="K325" s="312">
        <v>81</v>
      </c>
      <c r="L325" s="312">
        <v>0</v>
      </c>
      <c r="M325" s="312">
        <v>0</v>
      </c>
      <c r="N325" s="312">
        <v>0</v>
      </c>
      <c r="O325" s="312">
        <v>0</v>
      </c>
      <c r="P325" s="111"/>
      <c r="Q325" s="111"/>
      <c r="R325" s="111"/>
      <c r="S325" s="111"/>
      <c r="T325" s="111"/>
      <c r="U325" s="111"/>
      <c r="V325" s="111"/>
      <c r="W325" s="111"/>
    </row>
    <row r="326" spans="1:23" s="209" customFormat="1" ht="102.75" customHeight="1" x14ac:dyDescent="0.3">
      <c r="A326" s="379">
        <v>902</v>
      </c>
      <c r="B326" s="379" t="s">
        <v>616</v>
      </c>
      <c r="C326" s="269" t="s">
        <v>622</v>
      </c>
      <c r="D326" s="93" t="s">
        <v>618</v>
      </c>
      <c r="E326" s="142" t="s">
        <v>623</v>
      </c>
      <c r="F326" s="177" t="s">
        <v>19</v>
      </c>
      <c r="G326" s="177" t="s">
        <v>72</v>
      </c>
      <c r="H326" s="177" t="s">
        <v>624</v>
      </c>
      <c r="I326" s="192"/>
      <c r="J326" s="309">
        <f>J327+J328+J329</f>
        <v>0</v>
      </c>
      <c r="K326" s="309">
        <f t="shared" ref="K326:O326" si="79">K327+K328+K329</f>
        <v>0</v>
      </c>
      <c r="L326" s="309">
        <f t="shared" si="79"/>
        <v>755.99</v>
      </c>
      <c r="M326" s="309">
        <f t="shared" si="79"/>
        <v>933.6</v>
      </c>
      <c r="N326" s="309">
        <f t="shared" si="79"/>
        <v>979.90000000000009</v>
      </c>
      <c r="O326" s="309">
        <f t="shared" si="79"/>
        <v>979.90000000000009</v>
      </c>
      <c r="P326" s="206"/>
      <c r="Q326" s="206"/>
      <c r="R326" s="206"/>
      <c r="S326" s="206"/>
      <c r="T326" s="206"/>
      <c r="U326" s="206"/>
      <c r="V326" s="206"/>
      <c r="W326" s="206"/>
    </row>
    <row r="327" spans="1:23" s="112" customFormat="1" ht="117" customHeight="1" x14ac:dyDescent="0.3">
      <c r="A327" s="372"/>
      <c r="B327" s="385"/>
      <c r="C327" s="82" t="s">
        <v>111</v>
      </c>
      <c r="D327" s="154"/>
      <c r="E327" s="82" t="s">
        <v>112</v>
      </c>
      <c r="F327" s="170"/>
      <c r="G327" s="170"/>
      <c r="H327" s="170"/>
      <c r="I327" s="166" t="s">
        <v>26</v>
      </c>
      <c r="J327" s="312">
        <v>0</v>
      </c>
      <c r="K327" s="312">
        <v>0</v>
      </c>
      <c r="L327" s="312">
        <v>524.70000000000005</v>
      </c>
      <c r="M327" s="312">
        <v>597.9</v>
      </c>
      <c r="N327" s="312">
        <v>644.20000000000005</v>
      </c>
      <c r="O327" s="312">
        <v>644.20000000000005</v>
      </c>
      <c r="P327" s="111"/>
      <c r="Q327" s="111"/>
      <c r="R327" s="111"/>
      <c r="S327" s="111"/>
      <c r="T327" s="111"/>
      <c r="U327" s="111"/>
      <c r="V327" s="111"/>
      <c r="W327" s="111"/>
    </row>
    <row r="328" spans="1:23" s="112" customFormat="1" ht="115.5" customHeight="1" x14ac:dyDescent="0.3">
      <c r="A328" s="372"/>
      <c r="B328" s="385"/>
      <c r="C328" s="84" t="s">
        <v>282</v>
      </c>
      <c r="D328" s="154"/>
      <c r="E328" s="147" t="s">
        <v>621</v>
      </c>
      <c r="F328" s="170"/>
      <c r="G328" s="170"/>
      <c r="H328" s="170"/>
      <c r="I328" s="166" t="s">
        <v>27</v>
      </c>
      <c r="J328" s="312">
        <v>0</v>
      </c>
      <c r="K328" s="312">
        <v>0</v>
      </c>
      <c r="L328" s="312">
        <v>150.29</v>
      </c>
      <c r="M328" s="312">
        <v>251.5</v>
      </c>
      <c r="N328" s="312">
        <v>251.5</v>
      </c>
      <c r="O328" s="312">
        <v>251.5</v>
      </c>
      <c r="P328" s="111"/>
      <c r="Q328" s="111"/>
      <c r="R328" s="111"/>
      <c r="S328" s="111"/>
      <c r="T328" s="111"/>
      <c r="U328" s="111"/>
      <c r="V328" s="111"/>
      <c r="W328" s="111"/>
    </row>
    <row r="329" spans="1:23" s="112" customFormat="1" ht="43.9" customHeight="1" x14ac:dyDescent="0.3">
      <c r="A329" s="380"/>
      <c r="B329" s="386"/>
      <c r="C329" s="212" t="s">
        <v>300</v>
      </c>
      <c r="D329" s="81" t="s">
        <v>604</v>
      </c>
      <c r="E329" s="82" t="s">
        <v>566</v>
      </c>
      <c r="F329" s="170"/>
      <c r="G329" s="170"/>
      <c r="H329" s="170"/>
      <c r="I329" s="166" t="s">
        <v>31</v>
      </c>
      <c r="J329" s="312">
        <v>0</v>
      </c>
      <c r="K329" s="312">
        <v>0</v>
      </c>
      <c r="L329" s="312">
        <v>81</v>
      </c>
      <c r="M329" s="312">
        <v>84.2</v>
      </c>
      <c r="N329" s="312">
        <v>84.2</v>
      </c>
      <c r="O329" s="312">
        <v>84.2</v>
      </c>
      <c r="P329" s="111"/>
      <c r="Q329" s="111"/>
      <c r="R329" s="111"/>
      <c r="S329" s="111"/>
      <c r="T329" s="111"/>
      <c r="U329" s="111"/>
      <c r="V329" s="111"/>
      <c r="W329" s="111"/>
    </row>
    <row r="330" spans="1:23" s="112" customFormat="1" ht="123" customHeight="1" x14ac:dyDescent="0.3">
      <c r="A330" s="297">
        <v>902</v>
      </c>
      <c r="B330" s="378" t="s">
        <v>625</v>
      </c>
      <c r="C330" s="125" t="s">
        <v>626</v>
      </c>
      <c r="D330" s="298"/>
      <c r="E330" s="221" t="s">
        <v>679</v>
      </c>
      <c r="F330" s="191"/>
      <c r="G330" s="191"/>
      <c r="H330" s="191"/>
      <c r="I330" s="191"/>
      <c r="J330" s="230">
        <f>J331+J334+J338+J345</f>
        <v>18808.490000000002</v>
      </c>
      <c r="K330" s="230">
        <f t="shared" ref="K330" si="80">K331+K334+K338+K345</f>
        <v>18808.490000000002</v>
      </c>
      <c r="L330" s="230">
        <f>L331+L334+L338+L345+L342</f>
        <v>24446.819999999996</v>
      </c>
      <c r="M330" s="230">
        <f t="shared" ref="M330:O330" si="81">M331+M334+M338+M345</f>
        <v>27563.599999999999</v>
      </c>
      <c r="N330" s="230">
        <f t="shared" si="81"/>
        <v>29798.9</v>
      </c>
      <c r="O330" s="230">
        <f t="shared" si="81"/>
        <v>31516.6</v>
      </c>
      <c r="P330" s="218"/>
      <c r="Q330" s="218"/>
      <c r="R330" s="111"/>
      <c r="S330" s="111"/>
      <c r="T330" s="111"/>
      <c r="U330" s="111"/>
      <c r="V330" s="111"/>
      <c r="W330" s="111"/>
    </row>
    <row r="331" spans="1:23" s="112" customFormat="1" ht="72.599999999999994" customHeight="1" x14ac:dyDescent="0.3">
      <c r="A331" s="291"/>
      <c r="B331" s="373"/>
      <c r="C331" s="220" t="s">
        <v>627</v>
      </c>
      <c r="D331" s="219"/>
      <c r="E331" s="132" t="s">
        <v>151</v>
      </c>
      <c r="F331" s="191" t="s">
        <v>19</v>
      </c>
      <c r="G331" s="191" t="s">
        <v>134</v>
      </c>
      <c r="H331" s="191" t="s">
        <v>628</v>
      </c>
      <c r="I331" s="191" t="s">
        <v>31</v>
      </c>
      <c r="J331" s="309">
        <f>SUM(J332:J333)</f>
        <v>186</v>
      </c>
      <c r="K331" s="309">
        <f t="shared" ref="K331:O331" si="82">SUM(K332:K333)</f>
        <v>186</v>
      </c>
      <c r="L331" s="309">
        <f t="shared" si="82"/>
        <v>186.9</v>
      </c>
      <c r="M331" s="309">
        <f t="shared" si="82"/>
        <v>192</v>
      </c>
      <c r="N331" s="309">
        <f t="shared" si="82"/>
        <v>192</v>
      </c>
      <c r="O331" s="309">
        <f t="shared" si="82"/>
        <v>192</v>
      </c>
      <c r="P331" s="110"/>
      <c r="Q331" s="110"/>
      <c r="R331" s="110"/>
      <c r="S331" s="110"/>
      <c r="T331" s="111"/>
      <c r="U331" s="111"/>
      <c r="V331" s="111"/>
      <c r="W331" s="111"/>
    </row>
    <row r="332" spans="1:23" s="112" customFormat="1" ht="88.5" customHeight="1" x14ac:dyDescent="0.3">
      <c r="A332" s="291"/>
      <c r="B332" s="373"/>
      <c r="C332" s="82" t="s">
        <v>629</v>
      </c>
      <c r="D332" s="82"/>
      <c r="E332" s="82" t="s">
        <v>521</v>
      </c>
      <c r="F332" s="192"/>
      <c r="G332" s="192"/>
      <c r="H332" s="192"/>
      <c r="I332" s="192" t="s">
        <v>284</v>
      </c>
      <c r="J332" s="308">
        <v>0</v>
      </c>
      <c r="K332" s="308">
        <v>0</v>
      </c>
      <c r="L332" s="308">
        <v>0</v>
      </c>
      <c r="M332" s="308">
        <v>0</v>
      </c>
      <c r="N332" s="308">
        <v>0</v>
      </c>
      <c r="O332" s="308">
        <v>0</v>
      </c>
      <c r="P332" s="218"/>
      <c r="Q332" s="218"/>
      <c r="R332" s="111"/>
      <c r="S332" s="111"/>
      <c r="T332" s="111"/>
      <c r="U332" s="111"/>
      <c r="V332" s="111"/>
      <c r="W332" s="111"/>
    </row>
    <row r="333" spans="1:23" s="112" customFormat="1" ht="42.6" customHeight="1" x14ac:dyDescent="0.3">
      <c r="A333" s="291"/>
      <c r="B333" s="373"/>
      <c r="C333" s="212" t="s">
        <v>300</v>
      </c>
      <c r="D333" s="132" t="s">
        <v>541</v>
      </c>
      <c r="E333" s="132" t="s">
        <v>151</v>
      </c>
      <c r="F333" s="192"/>
      <c r="G333" s="192"/>
      <c r="H333" s="192"/>
      <c r="I333" s="192" t="s">
        <v>31</v>
      </c>
      <c r="J333" s="308">
        <v>186</v>
      </c>
      <c r="K333" s="308">
        <v>186</v>
      </c>
      <c r="L333" s="308">
        <v>186.9</v>
      </c>
      <c r="M333" s="308">
        <v>192</v>
      </c>
      <c r="N333" s="308">
        <v>192</v>
      </c>
      <c r="O333" s="308">
        <v>192</v>
      </c>
      <c r="P333" s="218"/>
      <c r="Q333" s="218"/>
      <c r="R333" s="111"/>
      <c r="S333" s="111"/>
      <c r="T333" s="111"/>
      <c r="U333" s="111"/>
      <c r="V333" s="111"/>
      <c r="W333" s="111"/>
    </row>
    <row r="334" spans="1:23" s="112" customFormat="1" ht="84.75" customHeight="1" x14ac:dyDescent="0.3">
      <c r="A334" s="291"/>
      <c r="B334" s="373"/>
      <c r="C334" s="220" t="s">
        <v>630</v>
      </c>
      <c r="D334" s="219"/>
      <c r="E334" s="221"/>
      <c r="F334" s="191" t="s">
        <v>19</v>
      </c>
      <c r="G334" s="191" t="s">
        <v>134</v>
      </c>
      <c r="H334" s="191" t="s">
        <v>631</v>
      </c>
      <c r="I334" s="191"/>
      <c r="J334" s="309">
        <f>J336+J337</f>
        <v>232.4</v>
      </c>
      <c r="K334" s="309">
        <f t="shared" ref="K334" si="83">K336+K337</f>
        <v>232.4</v>
      </c>
      <c r="L334" s="309">
        <f>L336+L337+L335</f>
        <v>266.58999999999997</v>
      </c>
      <c r="M334" s="309">
        <f t="shared" ref="M334:O334" si="84">M336+M337+M335</f>
        <v>137.5</v>
      </c>
      <c r="N334" s="309">
        <f t="shared" si="84"/>
        <v>143</v>
      </c>
      <c r="O334" s="309">
        <f t="shared" si="84"/>
        <v>149</v>
      </c>
      <c r="P334" s="218"/>
      <c r="Q334" s="218"/>
      <c r="R334" s="111"/>
      <c r="S334" s="111"/>
      <c r="T334" s="111"/>
      <c r="U334" s="111"/>
      <c r="V334" s="111"/>
      <c r="W334" s="111"/>
    </row>
    <row r="335" spans="1:23" s="112" customFormat="1" ht="84.75" customHeight="1" x14ac:dyDescent="0.3">
      <c r="A335" s="291"/>
      <c r="B335" s="373"/>
      <c r="C335" s="145"/>
      <c r="D335" s="222"/>
      <c r="E335" s="132"/>
      <c r="F335" s="192"/>
      <c r="G335" s="192"/>
      <c r="H335" s="192"/>
      <c r="I335" s="192" t="s">
        <v>280</v>
      </c>
      <c r="J335" s="308">
        <v>0</v>
      </c>
      <c r="K335" s="308">
        <v>0</v>
      </c>
      <c r="L335" s="308">
        <v>204.76</v>
      </c>
      <c r="M335" s="308">
        <v>0</v>
      </c>
      <c r="N335" s="308">
        <v>0</v>
      </c>
      <c r="O335" s="308">
        <v>0</v>
      </c>
      <c r="P335" s="218"/>
      <c r="Q335" s="218"/>
      <c r="R335" s="111"/>
      <c r="S335" s="111"/>
      <c r="T335" s="111"/>
      <c r="U335" s="111"/>
      <c r="V335" s="111"/>
      <c r="W335" s="111"/>
    </row>
    <row r="336" spans="1:23" s="112" customFormat="1" ht="86.25" customHeight="1" x14ac:dyDescent="0.3">
      <c r="A336" s="291"/>
      <c r="B336" s="373"/>
      <c r="C336" s="82" t="s">
        <v>629</v>
      </c>
      <c r="D336" s="82"/>
      <c r="E336" s="82" t="s">
        <v>521</v>
      </c>
      <c r="F336" s="192"/>
      <c r="G336" s="192"/>
      <c r="H336" s="192"/>
      <c r="I336" s="192" t="s">
        <v>284</v>
      </c>
      <c r="J336" s="308">
        <v>0</v>
      </c>
      <c r="K336" s="308">
        <v>0</v>
      </c>
      <c r="L336" s="308">
        <v>61.83</v>
      </c>
      <c r="M336" s="308">
        <v>0</v>
      </c>
      <c r="N336" s="308">
        <v>0</v>
      </c>
      <c r="O336" s="308">
        <v>0</v>
      </c>
      <c r="P336" s="218"/>
      <c r="Q336" s="218"/>
      <c r="R336" s="111"/>
      <c r="S336" s="111"/>
      <c r="T336" s="111"/>
      <c r="U336" s="111"/>
      <c r="V336" s="111"/>
      <c r="W336" s="111"/>
    </row>
    <row r="337" spans="1:23" s="112" customFormat="1" ht="39" customHeight="1" x14ac:dyDescent="0.3">
      <c r="A337" s="291"/>
      <c r="B337" s="373"/>
      <c r="C337" s="212" t="s">
        <v>300</v>
      </c>
      <c r="D337" s="132" t="s">
        <v>541</v>
      </c>
      <c r="E337" s="132" t="s">
        <v>151</v>
      </c>
      <c r="F337" s="192"/>
      <c r="G337" s="192"/>
      <c r="H337" s="192"/>
      <c r="I337" s="192" t="s">
        <v>31</v>
      </c>
      <c r="J337" s="308">
        <v>232.4</v>
      </c>
      <c r="K337" s="308">
        <v>232.4</v>
      </c>
      <c r="L337" s="308">
        <v>0</v>
      </c>
      <c r="M337" s="308">
        <v>137.5</v>
      </c>
      <c r="N337" s="308">
        <v>143</v>
      </c>
      <c r="O337" s="308">
        <v>149</v>
      </c>
      <c r="P337" s="218"/>
      <c r="Q337" s="218"/>
      <c r="R337" s="111"/>
      <c r="S337" s="111"/>
      <c r="T337" s="111"/>
      <c r="U337" s="111"/>
      <c r="V337" s="111"/>
      <c r="W337" s="111"/>
    </row>
    <row r="338" spans="1:23" s="112" customFormat="1" ht="84" customHeight="1" x14ac:dyDescent="0.3">
      <c r="A338" s="291"/>
      <c r="B338" s="373"/>
      <c r="C338" s="176" t="s">
        <v>632</v>
      </c>
      <c r="D338" s="219"/>
      <c r="E338" s="221"/>
      <c r="F338" s="191" t="s">
        <v>19</v>
      </c>
      <c r="G338" s="191" t="s">
        <v>134</v>
      </c>
      <c r="H338" s="191" t="s">
        <v>633</v>
      </c>
      <c r="I338" s="191"/>
      <c r="J338" s="309">
        <f>J340+J341</f>
        <v>38.4</v>
      </c>
      <c r="K338" s="309">
        <f t="shared" ref="K338" si="85">K340+K341</f>
        <v>38.4</v>
      </c>
      <c r="L338" s="309">
        <f>L340+L341+L339</f>
        <v>249.68</v>
      </c>
      <c r="M338" s="309">
        <f t="shared" ref="M338:O338" si="86">M340+M341+M339</f>
        <v>672.6</v>
      </c>
      <c r="N338" s="309">
        <f t="shared" si="86"/>
        <v>0</v>
      </c>
      <c r="O338" s="309">
        <f t="shared" si="86"/>
        <v>0</v>
      </c>
      <c r="P338" s="218"/>
      <c r="Q338" s="218"/>
      <c r="R338" s="111"/>
      <c r="S338" s="111"/>
      <c r="T338" s="111"/>
      <c r="U338" s="111"/>
      <c r="V338" s="111"/>
      <c r="W338" s="111"/>
    </row>
    <row r="339" spans="1:23" s="112" customFormat="1" ht="108.75" customHeight="1" x14ac:dyDescent="0.3">
      <c r="A339" s="291"/>
      <c r="B339" s="373"/>
      <c r="C339" s="84" t="s">
        <v>634</v>
      </c>
      <c r="D339" s="222"/>
      <c r="E339" s="132"/>
      <c r="F339" s="192"/>
      <c r="G339" s="192"/>
      <c r="H339" s="192"/>
      <c r="I339" s="192" t="s">
        <v>280</v>
      </c>
      <c r="J339" s="308">
        <v>0</v>
      </c>
      <c r="K339" s="308">
        <v>0</v>
      </c>
      <c r="L339" s="308">
        <v>191.78</v>
      </c>
      <c r="M339" s="308">
        <v>0</v>
      </c>
      <c r="N339" s="308">
        <v>0</v>
      </c>
      <c r="O339" s="308">
        <v>0</v>
      </c>
      <c r="P339" s="218"/>
      <c r="Q339" s="218"/>
      <c r="R339" s="111"/>
      <c r="S339" s="111"/>
      <c r="T339" s="111"/>
      <c r="U339" s="111"/>
      <c r="V339" s="111"/>
      <c r="W339" s="111"/>
    </row>
    <row r="340" spans="1:23" s="112" customFormat="1" ht="106.5" customHeight="1" x14ac:dyDescent="0.3">
      <c r="A340" s="291"/>
      <c r="B340" s="373"/>
      <c r="C340" s="82" t="s">
        <v>629</v>
      </c>
      <c r="D340" s="82"/>
      <c r="E340" s="82" t="s">
        <v>521</v>
      </c>
      <c r="F340" s="192"/>
      <c r="G340" s="192"/>
      <c r="H340" s="192"/>
      <c r="I340" s="192" t="s">
        <v>284</v>
      </c>
      <c r="J340" s="308">
        <v>0</v>
      </c>
      <c r="K340" s="308">
        <v>0</v>
      </c>
      <c r="L340" s="308">
        <v>57.9</v>
      </c>
      <c r="M340" s="308">
        <v>0</v>
      </c>
      <c r="N340" s="308">
        <v>0</v>
      </c>
      <c r="O340" s="308">
        <v>0</v>
      </c>
      <c r="P340" s="218"/>
      <c r="Q340" s="218"/>
      <c r="R340" s="111"/>
      <c r="S340" s="111"/>
      <c r="T340" s="111"/>
      <c r="U340" s="111"/>
      <c r="V340" s="111"/>
      <c r="W340" s="111"/>
    </row>
    <row r="341" spans="1:23" s="112" customFormat="1" ht="42.75" customHeight="1" x14ac:dyDescent="0.3">
      <c r="A341" s="291"/>
      <c r="B341" s="373"/>
      <c r="C341" s="212" t="s">
        <v>300</v>
      </c>
      <c r="D341" s="132" t="s">
        <v>541</v>
      </c>
      <c r="E341" s="132" t="s">
        <v>442</v>
      </c>
      <c r="F341" s="192"/>
      <c r="G341" s="192"/>
      <c r="H341" s="192"/>
      <c r="I341" s="192" t="s">
        <v>31</v>
      </c>
      <c r="J341" s="308">
        <v>38.4</v>
      </c>
      <c r="K341" s="308">
        <v>38.4</v>
      </c>
      <c r="L341" s="308">
        <v>0</v>
      </c>
      <c r="M341" s="308">
        <v>672.6</v>
      </c>
      <c r="N341" s="308">
        <v>0</v>
      </c>
      <c r="O341" s="308">
        <v>0</v>
      </c>
      <c r="P341" s="218"/>
      <c r="Q341" s="218"/>
      <c r="R341" s="111"/>
      <c r="S341" s="111"/>
      <c r="T341" s="111"/>
      <c r="U341" s="111"/>
      <c r="V341" s="111"/>
      <c r="W341" s="111"/>
    </row>
    <row r="342" spans="1:23" s="112" customFormat="1" ht="84" customHeight="1" x14ac:dyDescent="0.3">
      <c r="A342" s="291"/>
      <c r="B342" s="373"/>
      <c r="C342" s="176" t="s">
        <v>632</v>
      </c>
      <c r="D342" s="219"/>
      <c r="E342" s="221"/>
      <c r="F342" s="191" t="s">
        <v>19</v>
      </c>
      <c r="G342" s="191" t="s">
        <v>134</v>
      </c>
      <c r="H342" s="191" t="s">
        <v>635</v>
      </c>
      <c r="I342" s="191"/>
      <c r="J342" s="313">
        <f>SUM(J343:J344)</f>
        <v>0</v>
      </c>
      <c r="K342" s="313">
        <f t="shared" ref="K342:O342" si="87">SUM(K343:K344)</f>
        <v>0</v>
      </c>
      <c r="L342" s="313">
        <f t="shared" si="87"/>
        <v>31.66</v>
      </c>
      <c r="M342" s="313">
        <f t="shared" si="87"/>
        <v>0</v>
      </c>
      <c r="N342" s="313">
        <f t="shared" si="87"/>
        <v>0</v>
      </c>
      <c r="O342" s="313">
        <f t="shared" si="87"/>
        <v>0</v>
      </c>
      <c r="P342" s="218"/>
      <c r="Q342" s="218"/>
      <c r="R342" s="111"/>
      <c r="S342" s="111"/>
      <c r="T342" s="111"/>
      <c r="U342" s="111"/>
      <c r="V342" s="111"/>
      <c r="W342" s="111"/>
    </row>
    <row r="343" spans="1:23" s="112" customFormat="1" ht="108.75" customHeight="1" x14ac:dyDescent="0.3">
      <c r="A343" s="291"/>
      <c r="B343" s="373"/>
      <c r="C343" s="212" t="s">
        <v>634</v>
      </c>
      <c r="D343" s="132"/>
      <c r="E343" s="132"/>
      <c r="F343" s="192"/>
      <c r="G343" s="192"/>
      <c r="H343" s="192"/>
      <c r="I343" s="192" t="s">
        <v>280</v>
      </c>
      <c r="J343" s="308">
        <v>0</v>
      </c>
      <c r="K343" s="308">
        <v>0</v>
      </c>
      <c r="L343" s="308">
        <v>24.32</v>
      </c>
      <c r="M343" s="308">
        <v>0</v>
      </c>
      <c r="N343" s="308">
        <v>0</v>
      </c>
      <c r="O343" s="308">
        <v>0</v>
      </c>
      <c r="P343" s="218"/>
      <c r="Q343" s="218"/>
      <c r="R343" s="111"/>
      <c r="S343" s="111"/>
      <c r="T343" s="111"/>
      <c r="U343" s="111"/>
      <c r="V343" s="111"/>
      <c r="W343" s="111"/>
    </row>
    <row r="344" spans="1:23" s="112" customFormat="1" ht="105.75" customHeight="1" x14ac:dyDescent="0.3">
      <c r="A344" s="291"/>
      <c r="B344" s="373"/>
      <c r="C344" s="82" t="s">
        <v>629</v>
      </c>
      <c r="D344" s="82"/>
      <c r="E344" s="82" t="s">
        <v>521</v>
      </c>
      <c r="F344" s="192"/>
      <c r="G344" s="192"/>
      <c r="H344" s="192"/>
      <c r="I344" s="192" t="s">
        <v>284</v>
      </c>
      <c r="J344" s="308">
        <v>0</v>
      </c>
      <c r="K344" s="308">
        <v>0</v>
      </c>
      <c r="L344" s="308">
        <v>7.34</v>
      </c>
      <c r="M344" s="308">
        <v>0</v>
      </c>
      <c r="N344" s="308">
        <v>0</v>
      </c>
      <c r="O344" s="308">
        <v>0</v>
      </c>
      <c r="P344" s="218"/>
      <c r="Q344" s="218"/>
      <c r="R344" s="111"/>
      <c r="S344" s="111"/>
      <c r="T344" s="111"/>
      <c r="U344" s="111"/>
      <c r="V344" s="111"/>
      <c r="W344" s="111"/>
    </row>
    <row r="345" spans="1:23" s="112" customFormat="1" ht="96" customHeight="1" x14ac:dyDescent="0.3">
      <c r="A345" s="291"/>
      <c r="B345" s="373"/>
      <c r="C345" s="223" t="s">
        <v>636</v>
      </c>
      <c r="D345" s="222"/>
      <c r="E345" s="132" t="s">
        <v>637</v>
      </c>
      <c r="F345" s="191" t="s">
        <v>19</v>
      </c>
      <c r="G345" s="191" t="s">
        <v>134</v>
      </c>
      <c r="H345" s="191" t="s">
        <v>638</v>
      </c>
      <c r="I345" s="314"/>
      <c r="J345" s="230">
        <f>J346+J347+J348+J349+J350</f>
        <v>18351.690000000002</v>
      </c>
      <c r="K345" s="230">
        <f t="shared" ref="K345:O345" si="88">K346+K347+K348+K349+K350</f>
        <v>18351.690000000002</v>
      </c>
      <c r="L345" s="230">
        <f t="shared" si="88"/>
        <v>23711.989999999998</v>
      </c>
      <c r="M345" s="230">
        <f t="shared" si="88"/>
        <v>26561.5</v>
      </c>
      <c r="N345" s="230">
        <f t="shared" si="88"/>
        <v>29463.9</v>
      </c>
      <c r="O345" s="230">
        <f t="shared" si="88"/>
        <v>31175.599999999999</v>
      </c>
      <c r="P345" s="218"/>
      <c r="Q345" s="218"/>
      <c r="R345" s="111"/>
      <c r="S345" s="111"/>
      <c r="T345" s="111"/>
      <c r="U345" s="111"/>
      <c r="V345" s="111"/>
      <c r="W345" s="111"/>
    </row>
    <row r="346" spans="1:23" s="112" customFormat="1" ht="117.75" customHeight="1" x14ac:dyDescent="0.3">
      <c r="A346" s="372"/>
      <c r="B346" s="373"/>
      <c r="C346" s="159" t="s">
        <v>639</v>
      </c>
      <c r="D346" s="222"/>
      <c r="E346" s="132" t="s">
        <v>640</v>
      </c>
      <c r="F346" s="192"/>
      <c r="G346" s="192"/>
      <c r="H346" s="192"/>
      <c r="I346" s="192" t="s">
        <v>280</v>
      </c>
      <c r="J346" s="224">
        <v>12290.25</v>
      </c>
      <c r="K346" s="224">
        <v>12290.25</v>
      </c>
      <c r="L346" s="224">
        <v>15207.49</v>
      </c>
      <c r="M346" s="224">
        <v>14280.4</v>
      </c>
      <c r="N346" s="224">
        <v>15464.6</v>
      </c>
      <c r="O346" s="224">
        <v>16370.4</v>
      </c>
      <c r="P346" s="218"/>
      <c r="Q346" s="218"/>
      <c r="R346" s="111"/>
      <c r="S346" s="111"/>
      <c r="T346" s="111"/>
      <c r="U346" s="111"/>
      <c r="V346" s="111"/>
      <c r="W346" s="111"/>
    </row>
    <row r="347" spans="1:23" s="112" customFormat="1" ht="102" customHeight="1" x14ac:dyDescent="0.3">
      <c r="A347" s="372"/>
      <c r="B347" s="373"/>
      <c r="C347" s="80" t="s">
        <v>641</v>
      </c>
      <c r="D347" s="81" t="s">
        <v>65</v>
      </c>
      <c r="E347" s="82" t="s">
        <v>107</v>
      </c>
      <c r="F347" s="192"/>
      <c r="G347" s="192"/>
      <c r="H347" s="192"/>
      <c r="I347" s="192" t="s">
        <v>281</v>
      </c>
      <c r="J347" s="224">
        <v>0</v>
      </c>
      <c r="K347" s="224">
        <v>0</v>
      </c>
      <c r="L347" s="224">
        <v>0</v>
      </c>
      <c r="M347" s="224">
        <v>0</v>
      </c>
      <c r="N347" s="224">
        <v>0</v>
      </c>
      <c r="O347" s="224">
        <v>0</v>
      </c>
      <c r="P347" s="218"/>
      <c r="Q347" s="218"/>
      <c r="R347" s="111"/>
      <c r="S347" s="111"/>
      <c r="T347" s="111"/>
      <c r="U347" s="111"/>
      <c r="V347" s="111"/>
      <c r="W347" s="111"/>
    </row>
    <row r="348" spans="1:23" s="112" customFormat="1" ht="87.75" customHeight="1" x14ac:dyDescent="0.3">
      <c r="A348" s="372"/>
      <c r="B348" s="373"/>
      <c r="C348" s="82" t="s">
        <v>629</v>
      </c>
      <c r="D348" s="82"/>
      <c r="E348" s="82" t="s">
        <v>521</v>
      </c>
      <c r="F348" s="192"/>
      <c r="G348" s="192"/>
      <c r="H348" s="192"/>
      <c r="I348" s="192" t="s">
        <v>284</v>
      </c>
      <c r="J348" s="224">
        <v>2744.43</v>
      </c>
      <c r="K348" s="224">
        <v>2744.43</v>
      </c>
      <c r="L348" s="224">
        <v>4863.8599999999997</v>
      </c>
      <c r="M348" s="224">
        <v>4312.7</v>
      </c>
      <c r="N348" s="224">
        <v>4670.3999999999996</v>
      </c>
      <c r="O348" s="224">
        <v>4943.3</v>
      </c>
      <c r="P348" s="218"/>
      <c r="Q348" s="218"/>
      <c r="R348" s="111"/>
      <c r="S348" s="111"/>
      <c r="T348" s="111"/>
      <c r="U348" s="111"/>
      <c r="V348" s="111"/>
      <c r="W348" s="111"/>
    </row>
    <row r="349" spans="1:23" s="112" customFormat="1" ht="50.45" customHeight="1" x14ac:dyDescent="0.3">
      <c r="A349" s="380"/>
      <c r="B349" s="373"/>
      <c r="C349" s="212" t="s">
        <v>300</v>
      </c>
      <c r="D349" s="132" t="s">
        <v>541</v>
      </c>
      <c r="E349" s="132" t="s">
        <v>151</v>
      </c>
      <c r="F349" s="192"/>
      <c r="G349" s="192"/>
      <c r="H349" s="192"/>
      <c r="I349" s="192" t="s">
        <v>31</v>
      </c>
      <c r="J349" s="224">
        <v>3317.01</v>
      </c>
      <c r="K349" s="224">
        <v>3317.01</v>
      </c>
      <c r="L349" s="224">
        <v>3640.64</v>
      </c>
      <c r="M349" s="224">
        <v>7968.4</v>
      </c>
      <c r="N349" s="224">
        <v>9328.9</v>
      </c>
      <c r="O349" s="224">
        <v>9861.9</v>
      </c>
      <c r="P349" s="218"/>
      <c r="Q349" s="218"/>
      <c r="R349" s="111"/>
      <c r="S349" s="111"/>
      <c r="T349" s="111"/>
      <c r="U349" s="111"/>
      <c r="V349" s="111"/>
      <c r="W349" s="111"/>
    </row>
    <row r="350" spans="1:23" s="112" customFormat="1" ht="63.75" customHeight="1" x14ac:dyDescent="0.3">
      <c r="A350" s="179"/>
      <c r="B350" s="373"/>
      <c r="C350" s="75" t="s">
        <v>642</v>
      </c>
      <c r="D350" s="299"/>
      <c r="E350" s="300"/>
      <c r="F350" s="194" t="s">
        <v>19</v>
      </c>
      <c r="G350" s="194" t="s">
        <v>134</v>
      </c>
      <c r="H350" s="194" t="s">
        <v>638</v>
      </c>
      <c r="I350" s="194" t="s">
        <v>83</v>
      </c>
      <c r="J350" s="315">
        <v>0</v>
      </c>
      <c r="K350" s="315">
        <v>0</v>
      </c>
      <c r="L350" s="315">
        <v>0</v>
      </c>
      <c r="M350" s="315">
        <v>0</v>
      </c>
      <c r="N350" s="315">
        <v>0</v>
      </c>
      <c r="O350" s="315">
        <v>0</v>
      </c>
      <c r="P350" s="218"/>
      <c r="Q350" s="218"/>
      <c r="R350" s="111"/>
      <c r="S350" s="111"/>
      <c r="T350" s="111"/>
      <c r="U350" s="111"/>
      <c r="V350" s="111"/>
      <c r="W350" s="111"/>
    </row>
    <row r="351" spans="1:23" s="111" customFormat="1" ht="34.5" customHeight="1" x14ac:dyDescent="0.3">
      <c r="A351" s="301"/>
      <c r="B351" s="387" t="s">
        <v>643</v>
      </c>
      <c r="C351" s="387"/>
      <c r="D351" s="387"/>
      <c r="E351" s="387"/>
      <c r="F351" s="387"/>
      <c r="G351" s="387"/>
      <c r="H351" s="387"/>
      <c r="I351" s="387"/>
      <c r="J351" s="230">
        <f>SUM(J352:J355)</f>
        <v>40499.300000000003</v>
      </c>
      <c r="K351" s="230">
        <f t="shared" ref="K351:O351" si="89">SUM(K352:K355)</f>
        <v>40498.979999999996</v>
      </c>
      <c r="L351" s="230">
        <f>SUM(L352:L355)</f>
        <v>29294.9</v>
      </c>
      <c r="M351" s="230">
        <f t="shared" si="89"/>
        <v>300</v>
      </c>
      <c r="N351" s="230">
        <f t="shared" si="89"/>
        <v>0</v>
      </c>
      <c r="O351" s="230">
        <f t="shared" si="89"/>
        <v>0</v>
      </c>
      <c r="P351" s="218"/>
      <c r="Q351" s="218"/>
    </row>
    <row r="352" spans="1:23" s="112" customFormat="1" ht="95.25" customHeight="1" x14ac:dyDescent="0.3">
      <c r="A352" s="372"/>
      <c r="B352" s="373"/>
      <c r="C352" s="125" t="s">
        <v>644</v>
      </c>
      <c r="D352" s="82" t="s">
        <v>645</v>
      </c>
      <c r="E352" s="82" t="s">
        <v>197</v>
      </c>
      <c r="F352" s="192" t="s">
        <v>19</v>
      </c>
      <c r="G352" s="192" t="s">
        <v>134</v>
      </c>
      <c r="H352" s="192" t="s">
        <v>646</v>
      </c>
      <c r="I352" s="192" t="s">
        <v>31</v>
      </c>
      <c r="J352" s="224">
        <v>16571.599999999999</v>
      </c>
      <c r="K352" s="224">
        <v>16571.34</v>
      </c>
      <c r="L352" s="224">
        <v>1880.9</v>
      </c>
      <c r="M352" s="224">
        <v>0</v>
      </c>
      <c r="N352" s="224">
        <v>0</v>
      </c>
      <c r="O352" s="224">
        <v>0</v>
      </c>
      <c r="P352" s="218"/>
      <c r="Q352" s="218"/>
      <c r="R352" s="111"/>
      <c r="S352" s="111"/>
      <c r="T352" s="111"/>
      <c r="U352" s="111"/>
      <c r="V352" s="111"/>
      <c r="W352" s="111"/>
    </row>
    <row r="353" spans="1:23" s="112" customFormat="1" ht="94.5" customHeight="1" x14ac:dyDescent="0.3">
      <c r="A353" s="372"/>
      <c r="B353" s="373"/>
      <c r="C353" s="125" t="s">
        <v>644</v>
      </c>
      <c r="D353" s="82" t="s">
        <v>645</v>
      </c>
      <c r="E353" s="82" t="s">
        <v>197</v>
      </c>
      <c r="F353" s="192" t="s">
        <v>19</v>
      </c>
      <c r="G353" s="192" t="s">
        <v>134</v>
      </c>
      <c r="H353" s="192" t="s">
        <v>647</v>
      </c>
      <c r="I353" s="192" t="s">
        <v>31</v>
      </c>
      <c r="J353" s="224">
        <v>5047</v>
      </c>
      <c r="K353" s="224">
        <v>5046.9399999999996</v>
      </c>
      <c r="L353" s="224">
        <v>0</v>
      </c>
      <c r="M353" s="224">
        <v>0</v>
      </c>
      <c r="N353" s="224">
        <v>0</v>
      </c>
      <c r="O353" s="224">
        <v>0</v>
      </c>
      <c r="P353" s="218"/>
      <c r="Q353" s="218"/>
      <c r="R353" s="111"/>
      <c r="S353" s="111"/>
      <c r="T353" s="111"/>
      <c r="U353" s="111"/>
      <c r="V353" s="111"/>
      <c r="W353" s="111"/>
    </row>
    <row r="354" spans="1:23" s="112" customFormat="1" ht="78.75" customHeight="1" x14ac:dyDescent="0.3">
      <c r="A354" s="372"/>
      <c r="B354" s="373"/>
      <c r="C354" s="125" t="s">
        <v>648</v>
      </c>
      <c r="D354" s="302"/>
      <c r="E354" s="82" t="s">
        <v>649</v>
      </c>
      <c r="F354" s="192" t="s">
        <v>402</v>
      </c>
      <c r="G354" s="192" t="s">
        <v>20</v>
      </c>
      <c r="H354" s="192" t="s">
        <v>650</v>
      </c>
      <c r="I354" s="192" t="s">
        <v>651</v>
      </c>
      <c r="J354" s="224">
        <v>18580.7</v>
      </c>
      <c r="K354" s="224">
        <v>18580.7</v>
      </c>
      <c r="L354" s="224">
        <v>27114</v>
      </c>
      <c r="M354" s="224">
        <v>0</v>
      </c>
      <c r="N354" s="224">
        <v>0</v>
      </c>
      <c r="O354" s="224">
        <v>0</v>
      </c>
      <c r="P354" s="218"/>
      <c r="Q354" s="218"/>
      <c r="R354" s="111"/>
      <c r="S354" s="111"/>
      <c r="T354" s="111"/>
      <c r="U354" s="111"/>
      <c r="V354" s="111"/>
      <c r="W354" s="111"/>
    </row>
    <row r="355" spans="1:23" s="112" customFormat="1" ht="54.75" customHeight="1" x14ac:dyDescent="0.3">
      <c r="A355" s="372"/>
      <c r="B355" s="374"/>
      <c r="C355" s="125" t="s">
        <v>652</v>
      </c>
      <c r="D355" s="302"/>
      <c r="E355" s="82" t="s">
        <v>653</v>
      </c>
      <c r="F355" s="192" t="s">
        <v>125</v>
      </c>
      <c r="G355" s="192" t="s">
        <v>20</v>
      </c>
      <c r="H355" s="192" t="s">
        <v>654</v>
      </c>
      <c r="I355" s="192" t="s">
        <v>651</v>
      </c>
      <c r="J355" s="224">
        <v>300</v>
      </c>
      <c r="K355" s="224">
        <v>300</v>
      </c>
      <c r="L355" s="224">
        <v>300</v>
      </c>
      <c r="M355" s="224">
        <v>300</v>
      </c>
      <c r="N355" s="224">
        <v>0</v>
      </c>
      <c r="O355" s="224">
        <v>0</v>
      </c>
      <c r="P355" s="218"/>
      <c r="Q355" s="218"/>
      <c r="R355" s="111"/>
      <c r="S355" s="111"/>
      <c r="T355" s="111"/>
      <c r="U355" s="111"/>
      <c r="V355" s="111"/>
      <c r="W355" s="111"/>
    </row>
    <row r="356" spans="1:23" s="79" customFormat="1" ht="42" customHeight="1" x14ac:dyDescent="0.3">
      <c r="A356" s="375" t="s">
        <v>655</v>
      </c>
      <c r="B356" s="376"/>
      <c r="C356" s="376"/>
      <c r="D356" s="376"/>
      <c r="E356" s="376"/>
      <c r="F356" s="376"/>
      <c r="G356" s="376"/>
      <c r="H356" s="376"/>
      <c r="I356" s="376"/>
      <c r="J356" s="376"/>
      <c r="K356" s="376"/>
      <c r="L356" s="376"/>
      <c r="M356" s="376"/>
      <c r="N356" s="376"/>
      <c r="O356" s="377"/>
      <c r="P356" s="58"/>
      <c r="Q356" s="58"/>
      <c r="R356" s="58"/>
      <c r="S356" s="58"/>
      <c r="T356" s="58"/>
      <c r="U356" s="58"/>
      <c r="V356" s="58"/>
      <c r="W356" s="58"/>
    </row>
    <row r="357" spans="1:23" s="112" customFormat="1" ht="24.6" customHeight="1" x14ac:dyDescent="0.3">
      <c r="A357" s="252"/>
      <c r="B357" s="303" t="s">
        <v>656</v>
      </c>
      <c r="C357" s="260"/>
      <c r="D357" s="304"/>
      <c r="E357" s="304"/>
      <c r="F357" s="243"/>
      <c r="G357" s="243"/>
      <c r="H357" s="243"/>
      <c r="I357" s="243"/>
      <c r="J357" s="234">
        <f>+J360+J362+J363+J359+J358</f>
        <v>25300</v>
      </c>
      <c r="K357" s="234">
        <f t="shared" ref="K357" si="90">+K360+K362+K363+K359+K358</f>
        <v>25300</v>
      </c>
      <c r="L357" s="234">
        <f>+L360+L362+L363+L359+L358+L361+L364</f>
        <v>171267.65</v>
      </c>
      <c r="M357" s="234">
        <f>+M360+M362+M363+M359+M358+M361+M364</f>
        <v>19768.300000000003</v>
      </c>
      <c r="N357" s="234">
        <f t="shared" ref="N357:O357" si="91">+N360+N362+N363+N359+N358+N361+N364</f>
        <v>2520</v>
      </c>
      <c r="O357" s="234">
        <f t="shared" si="91"/>
        <v>2520</v>
      </c>
      <c r="P357" s="111"/>
      <c r="Q357" s="111"/>
      <c r="R357" s="111"/>
      <c r="S357" s="111"/>
      <c r="T357" s="111"/>
      <c r="U357" s="111"/>
      <c r="V357" s="111"/>
      <c r="W357" s="111"/>
    </row>
    <row r="358" spans="1:23" s="112" customFormat="1" ht="87" customHeight="1" x14ac:dyDescent="0.3">
      <c r="A358" s="283"/>
      <c r="B358" s="378" t="s">
        <v>657</v>
      </c>
      <c r="C358" s="225" t="s">
        <v>658</v>
      </c>
      <c r="D358" s="226"/>
      <c r="E358" s="142" t="s">
        <v>197</v>
      </c>
      <c r="F358" s="69" t="s">
        <v>125</v>
      </c>
      <c r="G358" s="69" t="s">
        <v>60</v>
      </c>
      <c r="H358" s="69" t="s">
        <v>659</v>
      </c>
      <c r="I358" s="69" t="s">
        <v>660</v>
      </c>
      <c r="J358" s="227">
        <v>20000</v>
      </c>
      <c r="K358" s="227">
        <v>20000</v>
      </c>
      <c r="L358" s="227">
        <v>9000</v>
      </c>
      <c r="M358" s="227">
        <v>5000</v>
      </c>
      <c r="N358" s="227">
        <v>0</v>
      </c>
      <c r="O358" s="227">
        <v>0</v>
      </c>
      <c r="P358" s="111"/>
      <c r="Q358" s="111"/>
      <c r="R358" s="111"/>
      <c r="S358" s="111"/>
      <c r="T358" s="111"/>
      <c r="U358" s="111"/>
      <c r="V358" s="111"/>
      <c r="W358" s="111"/>
    </row>
    <row r="359" spans="1:23" s="112" customFormat="1" ht="131.25" customHeight="1" x14ac:dyDescent="0.3">
      <c r="A359" s="283"/>
      <c r="B359" s="373"/>
      <c r="C359" s="225" t="s">
        <v>661</v>
      </c>
      <c r="D359" s="226"/>
      <c r="E359" s="142" t="s">
        <v>197</v>
      </c>
      <c r="F359" s="69" t="s">
        <v>125</v>
      </c>
      <c r="G359" s="69" t="s">
        <v>60</v>
      </c>
      <c r="H359" s="69" t="s">
        <v>662</v>
      </c>
      <c r="I359" s="69" t="s">
        <v>31</v>
      </c>
      <c r="J359" s="227">
        <v>0</v>
      </c>
      <c r="K359" s="227">
        <v>0</v>
      </c>
      <c r="L359" s="227">
        <v>5312.15</v>
      </c>
      <c r="M359" s="227">
        <v>12410.4</v>
      </c>
      <c r="N359" s="227">
        <v>0</v>
      </c>
      <c r="O359" s="227">
        <v>0</v>
      </c>
      <c r="P359" s="111"/>
      <c r="Q359" s="111"/>
      <c r="R359" s="111"/>
      <c r="S359" s="111"/>
      <c r="T359" s="111"/>
      <c r="U359" s="111"/>
      <c r="V359" s="111"/>
      <c r="W359" s="111"/>
    </row>
    <row r="360" spans="1:23" s="112" customFormat="1" ht="93" customHeight="1" x14ac:dyDescent="0.3">
      <c r="A360" s="283"/>
      <c r="B360" s="373"/>
      <c r="C360" s="225" t="s">
        <v>663</v>
      </c>
      <c r="D360" s="226"/>
      <c r="E360" s="142" t="s">
        <v>197</v>
      </c>
      <c r="F360" s="69" t="s">
        <v>125</v>
      </c>
      <c r="G360" s="69" t="s">
        <v>60</v>
      </c>
      <c r="H360" s="69" t="s">
        <v>664</v>
      </c>
      <c r="I360" s="69" t="s">
        <v>660</v>
      </c>
      <c r="J360" s="227">
        <v>0</v>
      </c>
      <c r="K360" s="227">
        <v>0</v>
      </c>
      <c r="L360" s="227">
        <v>73243.3</v>
      </c>
      <c r="M360" s="227">
        <v>0</v>
      </c>
      <c r="N360" s="227">
        <v>0</v>
      </c>
      <c r="O360" s="227">
        <v>0</v>
      </c>
      <c r="P360" s="111"/>
      <c r="Q360" s="111"/>
      <c r="R360" s="111"/>
      <c r="S360" s="111"/>
      <c r="T360" s="111"/>
      <c r="U360" s="111"/>
      <c r="V360" s="111"/>
      <c r="W360" s="111"/>
    </row>
    <row r="361" spans="1:23" s="112" customFormat="1" ht="50.25" customHeight="1" x14ac:dyDescent="0.3">
      <c r="A361" s="283"/>
      <c r="B361" s="374"/>
      <c r="C361" s="228" t="s">
        <v>665</v>
      </c>
      <c r="D361" s="229"/>
      <c r="E361" s="142" t="s">
        <v>197</v>
      </c>
      <c r="F361" s="69" t="s">
        <v>125</v>
      </c>
      <c r="G361" s="69" t="s">
        <v>60</v>
      </c>
      <c r="H361" s="69" t="s">
        <v>666</v>
      </c>
      <c r="I361" s="69" t="s">
        <v>660</v>
      </c>
      <c r="J361" s="227">
        <v>0</v>
      </c>
      <c r="K361" s="227">
        <v>0</v>
      </c>
      <c r="L361" s="227">
        <v>21012.2</v>
      </c>
      <c r="M361" s="227">
        <v>0</v>
      </c>
      <c r="N361" s="227">
        <v>0</v>
      </c>
      <c r="O361" s="227">
        <v>0</v>
      </c>
      <c r="P361" s="111"/>
      <c r="Q361" s="111"/>
      <c r="R361" s="111"/>
      <c r="S361" s="111"/>
      <c r="T361" s="111"/>
      <c r="U361" s="111"/>
      <c r="V361" s="111"/>
      <c r="W361" s="111"/>
    </row>
    <row r="362" spans="1:23" s="112" customFormat="1" ht="50.45" customHeight="1" x14ac:dyDescent="0.3">
      <c r="A362" s="283"/>
      <c r="B362" s="379" t="s">
        <v>667</v>
      </c>
      <c r="C362" s="381" t="s">
        <v>668</v>
      </c>
      <c r="D362" s="383" t="s">
        <v>669</v>
      </c>
      <c r="E362" s="142"/>
      <c r="F362" s="69" t="s">
        <v>125</v>
      </c>
      <c r="G362" s="69" t="s">
        <v>125</v>
      </c>
      <c r="H362" s="191" t="s">
        <v>670</v>
      </c>
      <c r="I362" s="69" t="s">
        <v>660</v>
      </c>
      <c r="J362" s="227">
        <v>5300</v>
      </c>
      <c r="K362" s="227">
        <v>5300</v>
      </c>
      <c r="L362" s="227">
        <v>62700</v>
      </c>
      <c r="M362" s="227">
        <v>0</v>
      </c>
      <c r="N362" s="227">
        <v>0</v>
      </c>
      <c r="O362" s="227">
        <v>0</v>
      </c>
      <c r="P362" s="111"/>
      <c r="Q362" s="111"/>
      <c r="R362" s="111"/>
      <c r="S362" s="111"/>
      <c r="T362" s="111"/>
      <c r="U362" s="111"/>
      <c r="V362" s="111"/>
      <c r="W362" s="111"/>
    </row>
    <row r="363" spans="1:23" s="112" customFormat="1" ht="32.25" customHeight="1" x14ac:dyDescent="0.3">
      <c r="A363" s="252">
        <v>902</v>
      </c>
      <c r="B363" s="380"/>
      <c r="C363" s="382"/>
      <c r="D363" s="384"/>
      <c r="E363" s="142"/>
      <c r="F363" s="70" t="s">
        <v>125</v>
      </c>
      <c r="G363" s="70" t="s">
        <v>125</v>
      </c>
      <c r="H363" s="191" t="s">
        <v>670</v>
      </c>
      <c r="I363" s="191" t="s">
        <v>671</v>
      </c>
      <c r="J363" s="230">
        <v>0</v>
      </c>
      <c r="K363" s="230">
        <v>0</v>
      </c>
      <c r="L363" s="230">
        <v>0</v>
      </c>
      <c r="M363" s="230">
        <v>0</v>
      </c>
      <c r="N363" s="230">
        <v>0</v>
      </c>
      <c r="O363" s="230">
        <v>0</v>
      </c>
      <c r="P363" s="218"/>
      <c r="Q363" s="218"/>
      <c r="R363" s="111"/>
      <c r="S363" s="111"/>
      <c r="T363" s="111"/>
      <c r="U363" s="111"/>
      <c r="V363" s="111"/>
      <c r="W363" s="111"/>
    </row>
    <row r="364" spans="1:23" s="118" customFormat="1" ht="87" customHeight="1" x14ac:dyDescent="0.3">
      <c r="A364" s="305"/>
      <c r="B364" s="306" t="s">
        <v>672</v>
      </c>
      <c r="C364" s="307" t="s">
        <v>673</v>
      </c>
      <c r="D364" s="81" t="s">
        <v>674</v>
      </c>
      <c r="E364" s="115" t="s">
        <v>197</v>
      </c>
      <c r="F364" s="231" t="s">
        <v>675</v>
      </c>
      <c r="G364" s="231" t="s">
        <v>125</v>
      </c>
      <c r="H364" s="231" t="s">
        <v>676</v>
      </c>
      <c r="I364" s="231" t="s">
        <v>31</v>
      </c>
      <c r="J364" s="232">
        <v>0</v>
      </c>
      <c r="K364" s="232">
        <v>0</v>
      </c>
      <c r="L364" s="233">
        <v>0</v>
      </c>
      <c r="M364" s="234">
        <v>2357.9</v>
      </c>
      <c r="N364" s="234">
        <v>2520</v>
      </c>
      <c r="O364" s="234">
        <v>2520</v>
      </c>
    </row>
    <row r="365" spans="1:23" s="59" customFormat="1" ht="28.5" customHeight="1" x14ac:dyDescent="0.2">
      <c r="A365" s="345">
        <v>905</v>
      </c>
      <c r="B365" s="348" t="s">
        <v>703</v>
      </c>
      <c r="C365" s="349"/>
      <c r="D365" s="349"/>
      <c r="E365" s="349"/>
      <c r="F365" s="349"/>
      <c r="G365" s="349"/>
      <c r="H365" s="350"/>
      <c r="I365" s="346"/>
      <c r="J365" s="347">
        <f>SUM(J367+J368+J369)</f>
        <v>40743.5</v>
      </c>
      <c r="K365" s="347">
        <f>K367+K368+K369</f>
        <v>40683</v>
      </c>
      <c r="L365" s="347">
        <f>L367+L368+L369</f>
        <v>56855.69999999999</v>
      </c>
      <c r="M365" s="347">
        <f>M367+M368+M369</f>
        <v>45962.299999999996</v>
      </c>
      <c r="N365" s="347">
        <f>N367+N368+N369</f>
        <v>48072.9</v>
      </c>
      <c r="O365" s="347">
        <f>O367+O368+O369</f>
        <v>48277.799999999996</v>
      </c>
    </row>
    <row r="366" spans="1:23" s="317" customFormat="1" ht="30.75" customHeight="1" x14ac:dyDescent="0.25">
      <c r="A366" s="316"/>
      <c r="B366" s="351" t="s">
        <v>14</v>
      </c>
      <c r="C366" s="352"/>
      <c r="D366" s="352"/>
      <c r="E366" s="352"/>
      <c r="F366" s="352"/>
      <c r="G366" s="352"/>
      <c r="H366" s="352"/>
      <c r="I366" s="352"/>
      <c r="J366" s="352"/>
      <c r="K366" s="352"/>
      <c r="L366" s="352"/>
      <c r="M366" s="352"/>
      <c r="N366" s="352"/>
      <c r="O366" s="353"/>
    </row>
    <row r="367" spans="1:23" s="317" customFormat="1" ht="14.25" customHeight="1" x14ac:dyDescent="0.2">
      <c r="A367" s="354">
        <v>905</v>
      </c>
      <c r="B367" s="358" t="s">
        <v>681</v>
      </c>
      <c r="C367" s="318"/>
      <c r="D367" s="319"/>
      <c r="E367" s="319"/>
      <c r="F367" s="319" t="s">
        <v>19</v>
      </c>
      <c r="G367" s="319" t="s">
        <v>675</v>
      </c>
      <c r="H367" s="320"/>
      <c r="I367" s="319"/>
      <c r="J367" s="321">
        <f>SUM(J370+J375+J377)</f>
        <v>33243.5</v>
      </c>
      <c r="K367" s="321">
        <f>SUM(K370+K377+K375)</f>
        <v>33183</v>
      </c>
      <c r="L367" s="321">
        <f>SUM(L370+L375+L377)</f>
        <v>37259.69999999999</v>
      </c>
      <c r="M367" s="321">
        <f>SUM(M370+M375+M377)</f>
        <v>39962.299999999996</v>
      </c>
      <c r="N367" s="321">
        <f>SUM(N370+N375+N377)</f>
        <v>42072.9</v>
      </c>
      <c r="O367" s="321">
        <f>SUM(O370+O375+O377)</f>
        <v>42277.799999999996</v>
      </c>
    </row>
    <row r="368" spans="1:23" s="317" customFormat="1" ht="53.25" customHeight="1" x14ac:dyDescent="0.2">
      <c r="A368" s="355"/>
      <c r="B368" s="359"/>
      <c r="C368" s="318" t="s">
        <v>682</v>
      </c>
      <c r="D368" s="319"/>
      <c r="E368" s="319"/>
      <c r="F368" s="319" t="s">
        <v>402</v>
      </c>
      <c r="G368" s="319" t="s">
        <v>19</v>
      </c>
      <c r="H368" s="320"/>
      <c r="I368" s="319"/>
      <c r="J368" s="321">
        <v>6000</v>
      </c>
      <c r="K368" s="321">
        <v>6000</v>
      </c>
      <c r="L368" s="321">
        <f t="shared" ref="L368:O369" si="92">SUM(L383)</f>
        <v>6000</v>
      </c>
      <c r="M368" s="321">
        <f t="shared" si="92"/>
        <v>6000</v>
      </c>
      <c r="N368" s="321">
        <f t="shared" si="92"/>
        <v>6000</v>
      </c>
      <c r="O368" s="321">
        <f t="shared" si="92"/>
        <v>6000</v>
      </c>
    </row>
    <row r="369" spans="1:15" s="323" customFormat="1" ht="66" customHeight="1" x14ac:dyDescent="0.3">
      <c r="A369" s="356"/>
      <c r="B369" s="291"/>
      <c r="C369" s="322"/>
      <c r="D369" s="319"/>
      <c r="E369" s="319"/>
      <c r="F369" s="319" t="s">
        <v>402</v>
      </c>
      <c r="G369" s="319" t="s">
        <v>20</v>
      </c>
      <c r="H369" s="320"/>
      <c r="I369" s="319"/>
      <c r="J369" s="321">
        <v>1500</v>
      </c>
      <c r="K369" s="321">
        <v>1500</v>
      </c>
      <c r="L369" s="321">
        <v>13596</v>
      </c>
      <c r="M369" s="321">
        <f t="shared" si="92"/>
        <v>0</v>
      </c>
      <c r="N369" s="321">
        <f t="shared" si="92"/>
        <v>0</v>
      </c>
      <c r="O369" s="321">
        <f t="shared" si="92"/>
        <v>0</v>
      </c>
    </row>
    <row r="370" spans="1:15" s="323" customFormat="1" ht="44.25" customHeight="1" x14ac:dyDescent="0.3">
      <c r="A370" s="356"/>
      <c r="B370" s="360"/>
      <c r="C370" s="363" t="s">
        <v>683</v>
      </c>
      <c r="D370" s="324" t="s">
        <v>684</v>
      </c>
      <c r="E370" s="324" t="s">
        <v>685</v>
      </c>
      <c r="F370" s="325" t="s">
        <v>19</v>
      </c>
      <c r="G370" s="325" t="s">
        <v>675</v>
      </c>
      <c r="H370" s="326" t="s">
        <v>686</v>
      </c>
      <c r="I370" s="325" t="s">
        <v>687</v>
      </c>
      <c r="J370" s="327">
        <f t="shared" ref="J370:O370" si="93">J372+J373+J374</f>
        <v>29246.800000000003</v>
      </c>
      <c r="K370" s="327">
        <f t="shared" si="93"/>
        <v>29246.800000000003</v>
      </c>
      <c r="L370" s="328">
        <f>L372+L373+L374</f>
        <v>32869.299999999996</v>
      </c>
      <c r="M370" s="328">
        <f>M372+M373+M374</f>
        <v>35099.699999999997</v>
      </c>
      <c r="N370" s="328">
        <f t="shared" si="93"/>
        <v>37007.9</v>
      </c>
      <c r="O370" s="328">
        <f t="shared" si="93"/>
        <v>37007.1</v>
      </c>
    </row>
    <row r="371" spans="1:15" s="323" customFormat="1" ht="38.25" customHeight="1" x14ac:dyDescent="0.3">
      <c r="A371" s="356"/>
      <c r="B371" s="361"/>
      <c r="C371" s="364"/>
      <c r="D371" s="324"/>
      <c r="E371" s="324"/>
      <c r="F371" s="325"/>
      <c r="G371" s="325"/>
      <c r="H371" s="326"/>
      <c r="I371" s="325"/>
      <c r="J371" s="327"/>
      <c r="K371" s="327"/>
      <c r="L371" s="328"/>
      <c r="M371" s="328"/>
      <c r="N371" s="328"/>
      <c r="O371" s="328"/>
    </row>
    <row r="372" spans="1:15" s="323" customFormat="1" ht="54" customHeight="1" x14ac:dyDescent="0.3">
      <c r="A372" s="356"/>
      <c r="B372" s="361"/>
      <c r="C372" s="364"/>
      <c r="D372" s="329"/>
      <c r="E372" s="329"/>
      <c r="F372" s="330" t="s">
        <v>19</v>
      </c>
      <c r="G372" s="330" t="s">
        <v>675</v>
      </c>
      <c r="H372" s="331" t="s">
        <v>686</v>
      </c>
      <c r="I372" s="330" t="s">
        <v>26</v>
      </c>
      <c r="J372" s="332">
        <v>22487.200000000001</v>
      </c>
      <c r="K372" s="332">
        <v>22487.200000000001</v>
      </c>
      <c r="L372" s="333">
        <v>25276.799999999999</v>
      </c>
      <c r="M372" s="333">
        <v>26874.5</v>
      </c>
      <c r="N372" s="333">
        <v>28340.2</v>
      </c>
      <c r="O372" s="333">
        <v>28340.2</v>
      </c>
    </row>
    <row r="373" spans="1:15" s="323" customFormat="1" ht="65.25" customHeight="1" x14ac:dyDescent="0.3">
      <c r="A373" s="356"/>
      <c r="B373" s="361"/>
      <c r="C373" s="365"/>
      <c r="D373" s="329"/>
      <c r="E373" s="329"/>
      <c r="F373" s="330" t="s">
        <v>19</v>
      </c>
      <c r="G373" s="330" t="s">
        <v>675</v>
      </c>
      <c r="H373" s="331" t="s">
        <v>425</v>
      </c>
      <c r="I373" s="330" t="s">
        <v>27</v>
      </c>
      <c r="J373" s="332">
        <v>6740.7</v>
      </c>
      <c r="K373" s="332">
        <v>6740.7</v>
      </c>
      <c r="L373" s="333">
        <v>7571.8</v>
      </c>
      <c r="M373" s="333">
        <v>8089.1</v>
      </c>
      <c r="N373" s="333">
        <v>8531.6</v>
      </c>
      <c r="O373" s="333">
        <v>8531.5</v>
      </c>
    </row>
    <row r="374" spans="1:15" s="323" customFormat="1" ht="54.75" customHeight="1" x14ac:dyDescent="0.3">
      <c r="A374" s="356"/>
      <c r="B374" s="361"/>
      <c r="C374" s="329" t="s">
        <v>688</v>
      </c>
      <c r="D374" s="329"/>
      <c r="E374" s="329"/>
      <c r="F374" s="330" t="s">
        <v>19</v>
      </c>
      <c r="G374" s="330" t="s">
        <v>675</v>
      </c>
      <c r="H374" s="331" t="s">
        <v>686</v>
      </c>
      <c r="I374" s="330" t="s">
        <v>28</v>
      </c>
      <c r="J374" s="332">
        <v>18.899999999999999</v>
      </c>
      <c r="K374" s="332">
        <v>18.899999999999999</v>
      </c>
      <c r="L374" s="333">
        <v>20.7</v>
      </c>
      <c r="M374" s="333">
        <v>136.1</v>
      </c>
      <c r="N374" s="333">
        <v>136.1</v>
      </c>
      <c r="O374" s="333">
        <v>135.4</v>
      </c>
    </row>
    <row r="375" spans="1:15" s="323" customFormat="1" ht="56.25" customHeight="1" x14ac:dyDescent="0.3">
      <c r="A375" s="356"/>
      <c r="B375" s="361"/>
      <c r="C375" s="334" t="s">
        <v>689</v>
      </c>
      <c r="D375" s="363"/>
      <c r="E375" s="363"/>
      <c r="F375" s="325" t="s">
        <v>19</v>
      </c>
      <c r="G375" s="325" t="s">
        <v>675</v>
      </c>
      <c r="H375" s="320" t="s">
        <v>686</v>
      </c>
      <c r="I375" s="142" t="s">
        <v>690</v>
      </c>
      <c r="J375" s="335">
        <f>SUM(J376)</f>
        <v>3992.6</v>
      </c>
      <c r="K375" s="335">
        <f>SUM(K376)</f>
        <v>3932.1</v>
      </c>
      <c r="L375" s="321">
        <f>SUM(L376)</f>
        <v>4387.2</v>
      </c>
      <c r="M375" s="321">
        <f>M376</f>
        <v>4816.6000000000004</v>
      </c>
      <c r="N375" s="321">
        <v>5019</v>
      </c>
      <c r="O375" s="321">
        <v>5224.7</v>
      </c>
    </row>
    <row r="376" spans="1:15" s="323" customFormat="1" ht="58.5" customHeight="1" x14ac:dyDescent="0.3">
      <c r="A376" s="356"/>
      <c r="B376" s="361"/>
      <c r="C376" s="334"/>
      <c r="D376" s="365"/>
      <c r="E376" s="365"/>
      <c r="F376" s="325" t="s">
        <v>19</v>
      </c>
      <c r="G376" s="325" t="s">
        <v>675</v>
      </c>
      <c r="H376" s="320" t="s">
        <v>686</v>
      </c>
      <c r="I376" s="142" t="s">
        <v>31</v>
      </c>
      <c r="J376" s="335">
        <v>3992.6</v>
      </c>
      <c r="K376" s="335">
        <v>3932.1</v>
      </c>
      <c r="L376" s="321">
        <v>4387.2</v>
      </c>
      <c r="M376" s="321">
        <v>4816.6000000000004</v>
      </c>
      <c r="N376" s="321">
        <v>5019</v>
      </c>
      <c r="O376" s="321">
        <v>5224.7</v>
      </c>
    </row>
    <row r="377" spans="1:15" s="323" customFormat="1" ht="37.5" customHeight="1" x14ac:dyDescent="0.3">
      <c r="A377" s="357"/>
      <c r="B377" s="361"/>
      <c r="C377" s="336" t="s">
        <v>691</v>
      </c>
      <c r="D377" s="336" t="s">
        <v>692</v>
      </c>
      <c r="E377" s="331" t="s">
        <v>693</v>
      </c>
      <c r="F377" s="82" t="s">
        <v>19</v>
      </c>
      <c r="G377" s="332" t="s">
        <v>675</v>
      </c>
      <c r="H377" s="332" t="s">
        <v>425</v>
      </c>
      <c r="I377" s="333" t="s">
        <v>694</v>
      </c>
      <c r="J377" s="333">
        <v>4.0999999999999996</v>
      </c>
      <c r="K377" s="333">
        <v>4.0999999999999996</v>
      </c>
      <c r="L377" s="333">
        <f>L379+L380+L381</f>
        <v>3.2</v>
      </c>
      <c r="M377" s="336">
        <f>M379+M380+M381</f>
        <v>46</v>
      </c>
      <c r="N377" s="336">
        <f>N379+N380+N381</f>
        <v>46</v>
      </c>
      <c r="O377" s="331">
        <f>O379+O380+O381</f>
        <v>46</v>
      </c>
    </row>
    <row r="378" spans="1:15" s="323" customFormat="1" ht="33" hidden="1" customHeight="1" x14ac:dyDescent="0.3">
      <c r="A378" s="366"/>
      <c r="B378" s="361"/>
      <c r="C378" s="336"/>
      <c r="D378" s="336"/>
      <c r="E378" s="331"/>
      <c r="F378" s="82"/>
      <c r="G378" s="332"/>
      <c r="H378" s="332"/>
      <c r="I378" s="333"/>
      <c r="J378" s="333"/>
      <c r="K378" s="333"/>
      <c r="L378" s="333"/>
      <c r="M378" s="336"/>
      <c r="N378" s="336"/>
      <c r="O378" s="331"/>
    </row>
    <row r="379" spans="1:15" s="323" customFormat="1" ht="36.950000000000003" customHeight="1" x14ac:dyDescent="0.3">
      <c r="A379" s="367"/>
      <c r="B379" s="361"/>
      <c r="C379" s="336" t="s">
        <v>691</v>
      </c>
      <c r="D379" s="336" t="s">
        <v>692</v>
      </c>
      <c r="E379" s="331" t="s">
        <v>693</v>
      </c>
      <c r="F379" s="82" t="s">
        <v>19</v>
      </c>
      <c r="G379" s="332" t="s">
        <v>675</v>
      </c>
      <c r="H379" s="332" t="s">
        <v>695</v>
      </c>
      <c r="I379" s="333" t="s">
        <v>33</v>
      </c>
      <c r="J379" s="333"/>
      <c r="K379" s="333"/>
      <c r="L379" s="333">
        <v>0</v>
      </c>
      <c r="M379" s="336">
        <v>26.4</v>
      </c>
      <c r="N379" s="336">
        <v>26.4</v>
      </c>
      <c r="O379" s="331">
        <v>26.4</v>
      </c>
    </row>
    <row r="380" spans="1:15" s="323" customFormat="1" ht="36.950000000000003" customHeight="1" x14ac:dyDescent="0.3">
      <c r="A380" s="367"/>
      <c r="B380" s="361"/>
      <c r="C380" s="336" t="s">
        <v>691</v>
      </c>
      <c r="D380" s="336" t="s">
        <v>692</v>
      </c>
      <c r="E380" s="331" t="s">
        <v>693</v>
      </c>
      <c r="F380" s="82" t="s">
        <v>19</v>
      </c>
      <c r="G380" s="332" t="s">
        <v>675</v>
      </c>
      <c r="H380" s="332" t="s">
        <v>695</v>
      </c>
      <c r="I380" s="333" t="s">
        <v>35</v>
      </c>
      <c r="J380" s="333">
        <v>4.0999999999999996</v>
      </c>
      <c r="K380" s="333">
        <v>4.0999999999999996</v>
      </c>
      <c r="L380" s="333">
        <v>3.2</v>
      </c>
      <c r="M380" s="336">
        <v>3.2</v>
      </c>
      <c r="N380" s="336">
        <v>3.2</v>
      </c>
      <c r="O380" s="331">
        <v>3.2</v>
      </c>
    </row>
    <row r="381" spans="1:15" s="323" customFormat="1" ht="40.700000000000003" customHeight="1" x14ac:dyDescent="0.3">
      <c r="A381" s="367"/>
      <c r="B381" s="362"/>
      <c r="C381" s="336" t="s">
        <v>691</v>
      </c>
      <c r="D381" s="336" t="s">
        <v>692</v>
      </c>
      <c r="E381" s="331" t="s">
        <v>693</v>
      </c>
      <c r="F381" s="82" t="s">
        <v>19</v>
      </c>
      <c r="G381" s="332" t="s">
        <v>675</v>
      </c>
      <c r="H381" s="332" t="s">
        <v>686</v>
      </c>
      <c r="I381" s="333" t="s">
        <v>39</v>
      </c>
      <c r="J381" s="333"/>
      <c r="K381" s="333"/>
      <c r="L381" s="333">
        <v>0</v>
      </c>
      <c r="M381" s="336">
        <v>16.399999999999999</v>
      </c>
      <c r="N381" s="336">
        <v>16.399999999999999</v>
      </c>
      <c r="O381" s="331">
        <v>16.399999999999999</v>
      </c>
    </row>
    <row r="382" spans="1:15" s="323" customFormat="1" ht="40.700000000000003" customHeight="1" x14ac:dyDescent="0.3">
      <c r="A382" s="367"/>
      <c r="B382" s="369" t="s">
        <v>696</v>
      </c>
      <c r="C382" s="358" t="s">
        <v>697</v>
      </c>
      <c r="D382" s="337" t="s">
        <v>698</v>
      </c>
      <c r="E382" s="337" t="s">
        <v>699</v>
      </c>
      <c r="F382" s="338" t="s">
        <v>402</v>
      </c>
      <c r="G382" s="338" t="s">
        <v>19</v>
      </c>
      <c r="H382" s="339"/>
      <c r="I382" s="339"/>
      <c r="J382" s="340">
        <v>6000</v>
      </c>
      <c r="K382" s="341">
        <f>SUM(K383)</f>
        <v>6000</v>
      </c>
      <c r="L382" s="321">
        <v>6000</v>
      </c>
      <c r="M382" s="321">
        <f>SUM(M383)</f>
        <v>6000</v>
      </c>
      <c r="N382" s="321">
        <f>SUM(N383)</f>
        <v>6000</v>
      </c>
      <c r="O382" s="321">
        <f>SUM(O383)</f>
        <v>6000</v>
      </c>
    </row>
    <row r="383" spans="1:15" s="323" customFormat="1" ht="44.25" customHeight="1" x14ac:dyDescent="0.3">
      <c r="A383" s="368"/>
      <c r="B383" s="370"/>
      <c r="C383" s="359"/>
      <c r="D383" s="330"/>
      <c r="E383" s="330"/>
      <c r="F383" s="342">
        <v>14</v>
      </c>
      <c r="G383" s="82" t="s">
        <v>19</v>
      </c>
      <c r="H383" s="82" t="s">
        <v>700</v>
      </c>
      <c r="I383" s="82" t="s">
        <v>701</v>
      </c>
      <c r="J383" s="333">
        <v>6000</v>
      </c>
      <c r="K383" s="333">
        <v>6000</v>
      </c>
      <c r="L383" s="321">
        <v>6000</v>
      </c>
      <c r="M383" s="321">
        <v>6000</v>
      </c>
      <c r="N383" s="321">
        <v>6000</v>
      </c>
      <c r="O383" s="321">
        <v>6000</v>
      </c>
    </row>
    <row r="384" spans="1:15" s="323" customFormat="1" ht="62.25" customHeight="1" x14ac:dyDescent="0.3">
      <c r="A384" s="343">
        <v>905</v>
      </c>
      <c r="B384" s="370"/>
      <c r="C384" s="358" t="s">
        <v>697</v>
      </c>
      <c r="D384" s="330" t="s">
        <v>698</v>
      </c>
      <c r="E384" s="330" t="s">
        <v>699</v>
      </c>
      <c r="F384" s="338">
        <v>14</v>
      </c>
      <c r="G384" s="142" t="s">
        <v>20</v>
      </c>
      <c r="H384" s="142"/>
      <c r="I384" s="142"/>
      <c r="J384" s="321">
        <f t="shared" ref="J384:O384" si="94">SUM(J385)</f>
        <v>1500</v>
      </c>
      <c r="K384" s="321">
        <f t="shared" si="94"/>
        <v>1500</v>
      </c>
      <c r="L384" s="321">
        <v>13596</v>
      </c>
      <c r="M384" s="321">
        <f t="shared" si="94"/>
        <v>0</v>
      </c>
      <c r="N384" s="321">
        <f t="shared" si="94"/>
        <v>0</v>
      </c>
      <c r="O384" s="321">
        <f t="shared" si="94"/>
        <v>0</v>
      </c>
    </row>
    <row r="385" spans="1:45" s="323" customFormat="1" ht="60" customHeight="1" x14ac:dyDescent="0.3">
      <c r="A385" s="344"/>
      <c r="B385" s="371"/>
      <c r="C385" s="359"/>
      <c r="D385" s="330"/>
      <c r="E385" s="330"/>
      <c r="F385" s="82" t="s">
        <v>402</v>
      </c>
      <c r="G385" s="82" t="s">
        <v>20</v>
      </c>
      <c r="H385" s="82" t="s">
        <v>702</v>
      </c>
      <c r="I385" s="82" t="s">
        <v>651</v>
      </c>
      <c r="J385" s="321">
        <v>1500</v>
      </c>
      <c r="K385" s="321">
        <v>1500</v>
      </c>
      <c r="L385" s="321">
        <v>13596</v>
      </c>
      <c r="M385" s="321">
        <v>0</v>
      </c>
      <c r="N385" s="321">
        <v>0</v>
      </c>
      <c r="O385" s="321">
        <v>0</v>
      </c>
    </row>
    <row r="386" spans="1:45" s="59" customFormat="1" ht="27.75" customHeight="1" x14ac:dyDescent="0.25">
      <c r="A386" s="489">
        <v>910</v>
      </c>
      <c r="B386" s="490" t="s">
        <v>720</v>
      </c>
      <c r="C386" s="491"/>
      <c r="D386" s="491"/>
      <c r="E386" s="491"/>
      <c r="F386" s="491"/>
      <c r="G386" s="491"/>
      <c r="H386" s="492"/>
      <c r="I386" s="493"/>
      <c r="J386" s="494">
        <f>J388</f>
        <v>5856.0001000000011</v>
      </c>
      <c r="K386" s="495">
        <f>K388</f>
        <v>5535.6001000000015</v>
      </c>
      <c r="L386" s="495">
        <f>L388</f>
        <v>6312.3</v>
      </c>
      <c r="M386" s="495">
        <f t="shared" ref="M386:O386" si="95">M388</f>
        <v>7303.5</v>
      </c>
      <c r="N386" s="495">
        <f t="shared" si="95"/>
        <v>7696</v>
      </c>
      <c r="O386" s="496">
        <f t="shared" si="95"/>
        <v>7717.5000000000009</v>
      </c>
      <c r="P386" s="13"/>
      <c r="Q386" s="13"/>
      <c r="R386" s="13"/>
      <c r="S386" s="13"/>
      <c r="T386" s="13"/>
      <c r="U386" s="13"/>
      <c r="V386" s="13"/>
      <c r="W386" s="13"/>
      <c r="X386" s="13"/>
      <c r="Y386" s="13"/>
      <c r="Z386" s="13"/>
      <c r="AA386" s="462"/>
      <c r="AB386" s="462"/>
      <c r="AC386" s="462"/>
      <c r="AD386" s="462"/>
      <c r="AE386" s="462"/>
      <c r="AF386" s="462"/>
      <c r="AG386" s="462"/>
      <c r="AH386" s="462"/>
      <c r="AI386" s="462"/>
      <c r="AJ386" s="462"/>
      <c r="AK386" s="462"/>
      <c r="AL386" s="462"/>
      <c r="AM386" s="462"/>
      <c r="AN386" s="462"/>
      <c r="AO386" s="462"/>
      <c r="AP386" s="462"/>
      <c r="AQ386" s="462"/>
      <c r="AR386" s="462"/>
      <c r="AS386" s="462"/>
    </row>
    <row r="387" spans="1:45" s="15" customFormat="1" ht="27.75" customHeight="1" x14ac:dyDescent="0.2">
      <c r="A387" s="429" t="s">
        <v>14</v>
      </c>
      <c r="B387" s="429"/>
      <c r="C387" s="429"/>
      <c r="D387" s="429"/>
      <c r="E387" s="429"/>
      <c r="F387" s="429"/>
      <c r="G387" s="429"/>
      <c r="H387" s="429"/>
      <c r="I387" s="429"/>
      <c r="J387" s="429"/>
      <c r="K387" s="429"/>
      <c r="L387" s="429"/>
      <c r="M387" s="429"/>
      <c r="N387" s="429"/>
      <c r="O387" s="429"/>
      <c r="P387" s="13"/>
      <c r="Q387" s="14"/>
      <c r="R387" s="14"/>
      <c r="S387" s="14"/>
      <c r="T387" s="14"/>
      <c r="U387" s="14"/>
      <c r="V387" s="14"/>
      <c r="W387" s="14"/>
      <c r="X387" s="14"/>
      <c r="Y387" s="14"/>
      <c r="Z387" s="14"/>
      <c r="AA387" s="14"/>
      <c r="AB387" s="14"/>
      <c r="AC387" s="14"/>
      <c r="AD387" s="14"/>
      <c r="AE387" s="14"/>
      <c r="AF387" s="14"/>
      <c r="AG387" s="14"/>
      <c r="AH387" s="14"/>
      <c r="AI387" s="14"/>
      <c r="AJ387" s="14"/>
      <c r="AK387" s="14"/>
      <c r="AL387" s="14"/>
      <c r="AM387" s="14"/>
      <c r="AN387" s="14"/>
      <c r="AO387" s="14"/>
      <c r="AP387" s="14"/>
      <c r="AQ387" s="14"/>
    </row>
    <row r="388" spans="1:45" s="471" customFormat="1" ht="27.75" customHeight="1" x14ac:dyDescent="0.25">
      <c r="A388" s="463">
        <v>910</v>
      </c>
      <c r="B388" s="464" t="s">
        <v>15</v>
      </c>
      <c r="C388" s="465" t="s">
        <v>16</v>
      </c>
      <c r="D388" s="466" t="s">
        <v>704</v>
      </c>
      <c r="E388" s="467" t="s">
        <v>59</v>
      </c>
      <c r="F388" s="18"/>
      <c r="G388" s="18"/>
      <c r="H388" s="18"/>
      <c r="I388" s="18"/>
      <c r="J388" s="468">
        <f>J389</f>
        <v>5856.0001000000011</v>
      </c>
      <c r="K388" s="468">
        <f t="shared" ref="K388:O388" si="96">K389</f>
        <v>5535.6001000000015</v>
      </c>
      <c r="L388" s="468">
        <f>L389</f>
        <v>6312.3</v>
      </c>
      <c r="M388" s="469">
        <f t="shared" si="96"/>
        <v>7303.5</v>
      </c>
      <c r="N388" s="469">
        <f t="shared" si="96"/>
        <v>7696</v>
      </c>
      <c r="O388" s="469">
        <f t="shared" si="96"/>
        <v>7717.5000000000009</v>
      </c>
      <c r="P388" s="470"/>
    </row>
    <row r="389" spans="1:45" s="21" customFormat="1" ht="27.75" customHeight="1" x14ac:dyDescent="0.2">
      <c r="A389" s="463"/>
      <c r="B389" s="464"/>
      <c r="C389" s="472" t="s">
        <v>705</v>
      </c>
      <c r="D389" s="473" t="s">
        <v>706</v>
      </c>
      <c r="E389" s="473" t="s">
        <v>707</v>
      </c>
      <c r="F389" s="67" t="s">
        <v>19</v>
      </c>
      <c r="G389" s="67" t="s">
        <v>675</v>
      </c>
      <c r="H389" s="474"/>
      <c r="I389" s="474"/>
      <c r="J389" s="39">
        <f>J390+J391+J392+J393+J394+J395+J396+J397+J398</f>
        <v>5856.0001000000011</v>
      </c>
      <c r="K389" s="39">
        <f t="shared" ref="K389:O389" si="97">K390+K391+K392+K393+K394+K395+K396+K397+K398</f>
        <v>5535.6001000000015</v>
      </c>
      <c r="L389" s="39">
        <f t="shared" si="97"/>
        <v>6312.3</v>
      </c>
      <c r="M389" s="475">
        <f>SUM(M390:M398)</f>
        <v>7303.5</v>
      </c>
      <c r="N389" s="475">
        <f t="shared" si="97"/>
        <v>7696</v>
      </c>
      <c r="O389" s="475">
        <f t="shared" si="97"/>
        <v>7717.5000000000009</v>
      </c>
      <c r="P389" s="476"/>
    </row>
    <row r="390" spans="1:45" s="21" customFormat="1" ht="27.75" customHeight="1" x14ac:dyDescent="0.2">
      <c r="A390" s="463"/>
      <c r="B390" s="464"/>
      <c r="C390" s="477" t="s">
        <v>708</v>
      </c>
      <c r="D390" s="478"/>
      <c r="E390" s="473" t="s">
        <v>709</v>
      </c>
      <c r="F390" s="479" t="s">
        <v>19</v>
      </c>
      <c r="G390" s="479" t="s">
        <v>675</v>
      </c>
      <c r="H390" s="479" t="s">
        <v>710</v>
      </c>
      <c r="I390" s="32" t="s">
        <v>26</v>
      </c>
      <c r="J390" s="45">
        <v>2492.9</v>
      </c>
      <c r="K390" s="45">
        <v>2447.5</v>
      </c>
      <c r="L390" s="45">
        <v>2860</v>
      </c>
      <c r="M390" s="480">
        <f>3115.7+10</f>
        <v>3125.7</v>
      </c>
      <c r="N390" s="480">
        <f>3275.7+10</f>
        <v>3285.7</v>
      </c>
      <c r="O390" s="480">
        <f>N390</f>
        <v>3285.7</v>
      </c>
      <c r="P390" s="47"/>
      <c r="Q390" s="47"/>
      <c r="R390" s="47"/>
      <c r="S390" s="47"/>
      <c r="T390" s="47"/>
      <c r="U390" s="47"/>
      <c r="V390" s="47"/>
    </row>
    <row r="391" spans="1:45" s="21" customFormat="1" ht="27.75" customHeight="1" x14ac:dyDescent="0.25">
      <c r="A391" s="463"/>
      <c r="B391" s="464"/>
      <c r="C391" s="477" t="s">
        <v>711</v>
      </c>
      <c r="D391" s="481"/>
      <c r="E391" s="478" t="s">
        <v>712</v>
      </c>
      <c r="F391" s="479" t="s">
        <v>19</v>
      </c>
      <c r="G391" s="479" t="s">
        <v>675</v>
      </c>
      <c r="H391" s="479" t="s">
        <v>710</v>
      </c>
      <c r="I391" s="32" t="s">
        <v>27</v>
      </c>
      <c r="J391" s="45">
        <v>798.1</v>
      </c>
      <c r="K391" s="45">
        <v>654.79999999999995</v>
      </c>
      <c r="L391" s="45">
        <v>840</v>
      </c>
      <c r="M391" s="480">
        <v>930.9</v>
      </c>
      <c r="N391" s="480">
        <v>992</v>
      </c>
      <c r="O391" s="480">
        <f>N391</f>
        <v>992</v>
      </c>
    </row>
    <row r="392" spans="1:45" s="21" customFormat="1" ht="27.75" customHeight="1" x14ac:dyDescent="0.25">
      <c r="A392" s="463"/>
      <c r="B392" s="464"/>
      <c r="C392" s="477" t="s">
        <v>708</v>
      </c>
      <c r="D392" s="481"/>
      <c r="E392" s="473" t="s">
        <v>709</v>
      </c>
      <c r="F392" s="482" t="s">
        <v>19</v>
      </c>
      <c r="G392" s="482" t="s">
        <v>675</v>
      </c>
      <c r="H392" s="482" t="s">
        <v>713</v>
      </c>
      <c r="I392" s="483" t="s">
        <v>26</v>
      </c>
      <c r="J392" s="45">
        <v>1657.3</v>
      </c>
      <c r="K392" s="45">
        <v>1622.9</v>
      </c>
      <c r="L392" s="45">
        <v>1640.3</v>
      </c>
      <c r="M392" s="480">
        <f>2105.5+10</f>
        <v>2115.5</v>
      </c>
      <c r="N392" s="480">
        <f>2224.3+10</f>
        <v>2234.3000000000002</v>
      </c>
      <c r="O392" s="480">
        <f>2224.9+10</f>
        <v>2234.9</v>
      </c>
    </row>
    <row r="393" spans="1:45" s="21" customFormat="1" ht="27.75" customHeight="1" x14ac:dyDescent="0.25">
      <c r="A393" s="463"/>
      <c r="B393" s="464"/>
      <c r="C393" s="477" t="s">
        <v>714</v>
      </c>
      <c r="D393" s="481"/>
      <c r="E393" s="478" t="s">
        <v>712</v>
      </c>
      <c r="F393" s="482" t="s">
        <v>19</v>
      </c>
      <c r="G393" s="482" t="s">
        <v>675</v>
      </c>
      <c r="H393" s="482" t="s">
        <v>713</v>
      </c>
      <c r="I393" s="483" t="s">
        <v>27</v>
      </c>
      <c r="J393" s="45">
        <v>545.1</v>
      </c>
      <c r="K393" s="45">
        <v>462</v>
      </c>
      <c r="L393" s="45">
        <v>478.7</v>
      </c>
      <c r="M393" s="480">
        <v>633</v>
      </c>
      <c r="N393" s="480">
        <v>664.1</v>
      </c>
      <c r="O393" s="480">
        <f>N393</f>
        <v>664.1</v>
      </c>
    </row>
    <row r="394" spans="1:45" s="21" customFormat="1" ht="27.75" customHeight="1" x14ac:dyDescent="0.25">
      <c r="A394" s="463"/>
      <c r="B394" s="464"/>
      <c r="C394" s="472" t="s">
        <v>715</v>
      </c>
      <c r="D394" s="481"/>
      <c r="E394" s="478"/>
      <c r="F394" s="30" t="s">
        <v>19</v>
      </c>
      <c r="G394" s="482" t="s">
        <v>675</v>
      </c>
      <c r="H394" s="482" t="s">
        <v>713</v>
      </c>
      <c r="I394" s="30" t="s">
        <v>28</v>
      </c>
      <c r="J394" s="45">
        <v>4.5999999999999996</v>
      </c>
      <c r="K394" s="45">
        <v>4.5999999999999996</v>
      </c>
      <c r="L394" s="45">
        <v>4.8</v>
      </c>
      <c r="M394" s="480">
        <v>6.4</v>
      </c>
      <c r="N394" s="480">
        <v>6.4</v>
      </c>
      <c r="O394" s="480">
        <v>6.4</v>
      </c>
    </row>
    <row r="395" spans="1:45" s="21" customFormat="1" ht="27.75" customHeight="1" x14ac:dyDescent="0.2">
      <c r="A395" s="463"/>
      <c r="B395" s="464"/>
      <c r="C395" s="484" t="s">
        <v>716</v>
      </c>
      <c r="D395" s="485"/>
      <c r="E395" s="473" t="s">
        <v>717</v>
      </c>
      <c r="F395" s="30" t="s">
        <v>19</v>
      </c>
      <c r="G395" s="482" t="s">
        <v>675</v>
      </c>
      <c r="H395" s="482" t="s">
        <v>713</v>
      </c>
      <c r="I395" s="30" t="s">
        <v>31</v>
      </c>
      <c r="J395" s="45">
        <v>358</v>
      </c>
      <c r="K395" s="45">
        <v>343.8</v>
      </c>
      <c r="L395" s="45">
        <v>485.6</v>
      </c>
      <c r="M395" s="480">
        <v>488.9</v>
      </c>
      <c r="N395" s="480">
        <v>510.4</v>
      </c>
      <c r="O395" s="480">
        <v>531.29999999999995</v>
      </c>
    </row>
    <row r="396" spans="1:45" s="21" customFormat="1" ht="27.75" customHeight="1" x14ac:dyDescent="0.2">
      <c r="A396" s="463"/>
      <c r="B396" s="464"/>
      <c r="C396" s="486" t="s">
        <v>718</v>
      </c>
      <c r="D396" s="472" t="s">
        <v>32</v>
      </c>
      <c r="E396" s="478" t="s">
        <v>289</v>
      </c>
      <c r="F396" s="30" t="s">
        <v>19</v>
      </c>
      <c r="G396" s="482" t="s">
        <v>675</v>
      </c>
      <c r="H396" s="482" t="s">
        <v>713</v>
      </c>
      <c r="I396" s="30" t="s">
        <v>33</v>
      </c>
      <c r="J396" s="45">
        <v>0</v>
      </c>
      <c r="K396" s="45">
        <v>0</v>
      </c>
      <c r="L396" s="45">
        <v>0</v>
      </c>
      <c r="M396" s="480">
        <v>0</v>
      </c>
      <c r="N396" s="480">
        <v>0</v>
      </c>
      <c r="O396" s="480">
        <v>0</v>
      </c>
    </row>
    <row r="397" spans="1:45" ht="27.75" customHeight="1" x14ac:dyDescent="0.3">
      <c r="A397" s="463"/>
      <c r="B397" s="464"/>
      <c r="C397" s="486" t="s">
        <v>718</v>
      </c>
      <c r="D397" s="472" t="s">
        <v>34</v>
      </c>
      <c r="E397" s="478" t="s">
        <v>289</v>
      </c>
      <c r="F397" s="30" t="s">
        <v>19</v>
      </c>
      <c r="G397" s="482" t="s">
        <v>675</v>
      </c>
      <c r="H397" s="482" t="s">
        <v>713</v>
      </c>
      <c r="I397" s="30" t="s">
        <v>35</v>
      </c>
      <c r="J397" s="487">
        <v>0</v>
      </c>
      <c r="K397" s="487">
        <v>0</v>
      </c>
      <c r="L397" s="487">
        <v>0</v>
      </c>
      <c r="M397" s="488">
        <v>0</v>
      </c>
      <c r="N397" s="488">
        <v>0</v>
      </c>
      <c r="O397" s="488">
        <v>0</v>
      </c>
    </row>
    <row r="398" spans="1:45" ht="27.75" customHeight="1" x14ac:dyDescent="0.3">
      <c r="A398" s="463"/>
      <c r="B398" s="464"/>
      <c r="C398" s="472" t="s">
        <v>719</v>
      </c>
      <c r="D398" s="472" t="s">
        <v>37</v>
      </c>
      <c r="E398" s="473" t="s">
        <v>38</v>
      </c>
      <c r="F398" s="30" t="s">
        <v>19</v>
      </c>
      <c r="G398" s="482" t="s">
        <v>675</v>
      </c>
      <c r="H398" s="482" t="s">
        <v>713</v>
      </c>
      <c r="I398" s="30" t="s">
        <v>39</v>
      </c>
      <c r="J398" s="487">
        <v>1E-4</v>
      </c>
      <c r="K398" s="487">
        <v>1E-4</v>
      </c>
      <c r="L398" s="487">
        <v>2.9</v>
      </c>
      <c r="M398" s="488">
        <v>3.1</v>
      </c>
      <c r="N398" s="488">
        <v>3.1</v>
      </c>
      <c r="O398" s="488">
        <v>3.1</v>
      </c>
    </row>
    <row r="399" spans="1:45" s="502" customFormat="1" ht="36" customHeight="1" x14ac:dyDescent="0.3">
      <c r="A399" s="547">
        <v>924</v>
      </c>
      <c r="B399" s="548" t="s">
        <v>771</v>
      </c>
      <c r="C399" s="548"/>
      <c r="D399" s="548"/>
      <c r="E399" s="548"/>
      <c r="F399" s="548"/>
      <c r="G399" s="548"/>
      <c r="H399" s="549"/>
      <c r="I399" s="497"/>
      <c r="J399" s="537">
        <f>J401</f>
        <v>371792.30999999994</v>
      </c>
      <c r="K399" s="537">
        <f t="shared" ref="K399:O399" si="98">K401</f>
        <v>317408.20999999996</v>
      </c>
      <c r="L399" s="537">
        <f t="shared" si="98"/>
        <v>368673.50999999995</v>
      </c>
      <c r="M399" s="537">
        <f t="shared" si="98"/>
        <v>484087.8</v>
      </c>
      <c r="N399" s="537">
        <f t="shared" si="98"/>
        <v>267574.5</v>
      </c>
      <c r="O399" s="537">
        <f t="shared" si="98"/>
        <v>19140.8</v>
      </c>
      <c r="P399" s="498"/>
      <c r="Q399" s="498"/>
      <c r="R399" s="499"/>
      <c r="S399" s="499"/>
      <c r="T399" s="499"/>
      <c r="U399" s="499"/>
      <c r="V399" s="499"/>
      <c r="W399" s="499"/>
      <c r="X399" s="499"/>
      <c r="Y399" s="499"/>
      <c r="Z399" s="499"/>
      <c r="AA399" s="500"/>
      <c r="AB399" s="500"/>
      <c r="AC399" s="500"/>
      <c r="AD399" s="500"/>
      <c r="AE399" s="500"/>
      <c r="AF399" s="500"/>
      <c r="AG399" s="500"/>
      <c r="AH399" s="500"/>
      <c r="AI399" s="500"/>
      <c r="AJ399" s="500"/>
      <c r="AK399" s="500"/>
      <c r="AL399" s="500"/>
      <c r="AM399" s="500"/>
      <c r="AN399" s="500"/>
      <c r="AO399" s="500"/>
      <c r="AP399" s="501"/>
      <c r="AQ399" s="501"/>
      <c r="AR399" s="501"/>
      <c r="AS399" s="501"/>
    </row>
    <row r="400" spans="1:45" s="15" customFormat="1" ht="31.7" customHeight="1" x14ac:dyDescent="0.25">
      <c r="A400" s="503" t="s">
        <v>14</v>
      </c>
      <c r="B400" s="503"/>
      <c r="C400" s="503"/>
      <c r="D400" s="503"/>
      <c r="E400" s="503"/>
      <c r="F400" s="503"/>
      <c r="G400" s="503"/>
      <c r="H400" s="503"/>
      <c r="I400" s="503"/>
      <c r="J400" s="503"/>
      <c r="K400" s="503"/>
      <c r="L400" s="503"/>
      <c r="M400" s="503"/>
      <c r="N400" s="503"/>
      <c r="O400" s="503"/>
      <c r="P400" s="13"/>
      <c r="Q400" s="14"/>
      <c r="R400" s="14"/>
      <c r="S400" s="14"/>
      <c r="T400" s="14"/>
      <c r="U400" s="14"/>
      <c r="V400" s="14"/>
      <c r="W400" s="14"/>
      <c r="X400" s="14"/>
      <c r="Y400" s="14"/>
      <c r="Z400" s="14"/>
      <c r="AA400" s="14"/>
      <c r="AB400" s="14"/>
      <c r="AC400" s="14"/>
      <c r="AD400" s="14"/>
      <c r="AE400" s="14"/>
      <c r="AF400" s="14"/>
      <c r="AG400" s="14"/>
      <c r="AH400" s="14"/>
      <c r="AI400" s="14"/>
      <c r="AJ400" s="14"/>
      <c r="AK400" s="14"/>
      <c r="AL400" s="14"/>
      <c r="AM400" s="14"/>
      <c r="AN400" s="14"/>
      <c r="AO400" s="14"/>
      <c r="AP400" s="14"/>
      <c r="AQ400" s="14"/>
    </row>
    <row r="401" spans="1:20" s="19" customFormat="1" ht="25.5" customHeight="1" x14ac:dyDescent="0.25">
      <c r="A401" s="430">
        <v>924</v>
      </c>
      <c r="B401" s="504"/>
      <c r="C401" s="16"/>
      <c r="D401" s="17"/>
      <c r="E401" s="16"/>
      <c r="F401" s="231"/>
      <c r="G401" s="231"/>
      <c r="H401" s="231"/>
      <c r="I401" s="231"/>
      <c r="J401" s="244">
        <f t="shared" ref="J401:O401" si="99">J402+J410+J417+J421+J429+J433+J441</f>
        <v>371792.30999999994</v>
      </c>
      <c r="K401" s="244">
        <f t="shared" si="99"/>
        <v>317408.20999999996</v>
      </c>
      <c r="L401" s="244">
        <f t="shared" si="99"/>
        <v>368673.50999999995</v>
      </c>
      <c r="M401" s="244">
        <f t="shared" si="99"/>
        <v>484087.8</v>
      </c>
      <c r="N401" s="244">
        <f t="shared" si="99"/>
        <v>267574.5</v>
      </c>
      <c r="O401" s="244">
        <f t="shared" si="99"/>
        <v>19140.8</v>
      </c>
      <c r="P401" s="505"/>
      <c r="R401" s="505"/>
      <c r="S401" s="505"/>
      <c r="T401" s="505"/>
    </row>
    <row r="402" spans="1:20" s="19" customFormat="1" ht="18" customHeight="1" x14ac:dyDescent="0.2">
      <c r="A402" s="431"/>
      <c r="B402" s="506" t="s">
        <v>721</v>
      </c>
      <c r="C402" s="550"/>
      <c r="D402" s="551"/>
      <c r="E402" s="550"/>
      <c r="F402" s="539" t="s">
        <v>19</v>
      </c>
      <c r="G402" s="539" t="s">
        <v>134</v>
      </c>
      <c r="H402" s="539"/>
      <c r="I402" s="539"/>
      <c r="J402" s="540">
        <f>J403+J404+J406+J407+J408+J409+J405</f>
        <v>0</v>
      </c>
      <c r="K402" s="540">
        <f t="shared" ref="K402:O402" si="100">K403+K404+K406+K407+K408+K409+K405</f>
        <v>0</v>
      </c>
      <c r="L402" s="540">
        <f t="shared" si="100"/>
        <v>5700.7999999999993</v>
      </c>
      <c r="M402" s="540">
        <f t="shared" si="100"/>
        <v>67305</v>
      </c>
      <c r="N402" s="540">
        <f t="shared" si="100"/>
        <v>56583.3</v>
      </c>
      <c r="O402" s="540">
        <f t="shared" si="100"/>
        <v>69.8</v>
      </c>
      <c r="P402" s="505"/>
      <c r="R402" s="505"/>
      <c r="S402" s="505"/>
      <c r="T402" s="505"/>
    </row>
    <row r="403" spans="1:20" s="19" customFormat="1" ht="24.75" customHeight="1" x14ac:dyDescent="0.25">
      <c r="A403" s="431"/>
      <c r="B403" s="507"/>
      <c r="C403" s="508" t="s">
        <v>722</v>
      </c>
      <c r="D403" s="508" t="s">
        <v>723</v>
      </c>
      <c r="E403" s="509" t="s">
        <v>724</v>
      </c>
      <c r="F403" s="538"/>
      <c r="G403" s="538"/>
      <c r="H403" s="539" t="s">
        <v>725</v>
      </c>
      <c r="I403" s="539" t="s">
        <v>31</v>
      </c>
      <c r="J403" s="540">
        <v>0</v>
      </c>
      <c r="K403" s="540">
        <v>0</v>
      </c>
      <c r="L403" s="540">
        <v>4.9000000000000004</v>
      </c>
      <c r="M403" s="540">
        <v>9.3000000000000007</v>
      </c>
      <c r="N403" s="540">
        <v>9.6</v>
      </c>
      <c r="O403" s="540">
        <v>10</v>
      </c>
      <c r="P403" s="505"/>
      <c r="R403" s="505"/>
      <c r="S403" s="505"/>
      <c r="T403" s="505"/>
    </row>
    <row r="404" spans="1:20" s="19" customFormat="1" ht="27" customHeight="1" x14ac:dyDescent="0.25">
      <c r="A404" s="431"/>
      <c r="B404" s="507"/>
      <c r="C404" s="510"/>
      <c r="D404" s="510"/>
      <c r="E404" s="511"/>
      <c r="F404" s="538"/>
      <c r="G404" s="538"/>
      <c r="H404" s="539" t="s">
        <v>725</v>
      </c>
      <c r="I404" s="539" t="s">
        <v>726</v>
      </c>
      <c r="J404" s="540">
        <v>0</v>
      </c>
      <c r="K404" s="540">
        <v>0</v>
      </c>
      <c r="L404" s="540">
        <v>4500</v>
      </c>
      <c r="M404" s="540">
        <f>15095.2+52140.7</f>
        <v>67235.899999999994</v>
      </c>
      <c r="N404" s="540">
        <v>56513.9</v>
      </c>
      <c r="O404" s="540">
        <v>0</v>
      </c>
      <c r="P404" s="505"/>
      <c r="R404" s="505"/>
      <c r="S404" s="505"/>
      <c r="T404" s="505"/>
    </row>
    <row r="405" spans="1:20" s="19" customFormat="1" ht="22.5" customHeight="1" x14ac:dyDescent="0.25">
      <c r="A405" s="431"/>
      <c r="B405" s="507"/>
      <c r="C405" s="510"/>
      <c r="D405" s="510"/>
      <c r="E405" s="512" t="s">
        <v>727</v>
      </c>
      <c r="F405" s="538"/>
      <c r="G405" s="538"/>
      <c r="H405" s="539" t="s">
        <v>725</v>
      </c>
      <c r="I405" s="539" t="s">
        <v>33</v>
      </c>
      <c r="J405" s="540">
        <v>0</v>
      </c>
      <c r="K405" s="540">
        <v>0</v>
      </c>
      <c r="L405" s="540">
        <v>0</v>
      </c>
      <c r="M405" s="540">
        <v>59.8</v>
      </c>
      <c r="N405" s="540">
        <v>59.8</v>
      </c>
      <c r="O405" s="540">
        <v>59.8</v>
      </c>
      <c r="P405" s="505"/>
      <c r="R405" s="505"/>
      <c r="S405" s="505"/>
      <c r="T405" s="505"/>
    </row>
    <row r="406" spans="1:20" s="19" customFormat="1" ht="48" customHeight="1" x14ac:dyDescent="0.25">
      <c r="A406" s="431"/>
      <c r="B406" s="507"/>
      <c r="C406" s="510"/>
      <c r="D406" s="510"/>
      <c r="E406" s="513"/>
      <c r="F406" s="538"/>
      <c r="G406" s="538"/>
      <c r="H406" s="539" t="s">
        <v>725</v>
      </c>
      <c r="I406" s="539" t="s">
        <v>39</v>
      </c>
      <c r="J406" s="540">
        <v>0</v>
      </c>
      <c r="K406" s="540">
        <v>0</v>
      </c>
      <c r="L406" s="540">
        <v>0.2</v>
      </c>
      <c r="M406" s="540">
        <v>0</v>
      </c>
      <c r="N406" s="540">
        <v>0</v>
      </c>
      <c r="O406" s="540">
        <v>0</v>
      </c>
      <c r="P406" s="505"/>
      <c r="R406" s="505"/>
      <c r="S406" s="505"/>
      <c r="T406" s="505"/>
    </row>
    <row r="407" spans="1:20" s="19" customFormat="1" ht="23.25" customHeight="1" x14ac:dyDescent="0.25">
      <c r="A407" s="431"/>
      <c r="B407" s="507"/>
      <c r="C407" s="510"/>
      <c r="D407" s="510"/>
      <c r="E407" s="514"/>
      <c r="F407" s="538"/>
      <c r="G407" s="538"/>
      <c r="H407" s="539" t="s">
        <v>155</v>
      </c>
      <c r="I407" s="539" t="s">
        <v>31</v>
      </c>
      <c r="J407" s="540">
        <v>0</v>
      </c>
      <c r="K407" s="540">
        <v>0</v>
      </c>
      <c r="L407" s="540">
        <v>650</v>
      </c>
      <c r="M407" s="540">
        <v>0</v>
      </c>
      <c r="N407" s="540">
        <v>0</v>
      </c>
      <c r="O407" s="540">
        <v>0</v>
      </c>
      <c r="P407" s="505"/>
      <c r="R407" s="505"/>
      <c r="S407" s="505"/>
      <c r="T407" s="505"/>
    </row>
    <row r="408" spans="1:20" s="19" customFormat="1" ht="27.75" customHeight="1" x14ac:dyDescent="0.25">
      <c r="A408" s="431"/>
      <c r="B408" s="507"/>
      <c r="C408" s="510"/>
      <c r="D408" s="510"/>
      <c r="E408" s="514"/>
      <c r="F408" s="538"/>
      <c r="G408" s="538"/>
      <c r="H408" s="539" t="s">
        <v>139</v>
      </c>
      <c r="I408" s="539" t="s">
        <v>31</v>
      </c>
      <c r="J408" s="540">
        <v>0</v>
      </c>
      <c r="K408" s="540">
        <v>0</v>
      </c>
      <c r="L408" s="540">
        <v>105</v>
      </c>
      <c r="M408" s="540">
        <v>0</v>
      </c>
      <c r="N408" s="540">
        <v>0</v>
      </c>
      <c r="O408" s="540">
        <v>0</v>
      </c>
      <c r="P408" s="505"/>
      <c r="R408" s="505"/>
      <c r="S408" s="505"/>
      <c r="T408" s="505"/>
    </row>
    <row r="409" spans="1:20" s="19" customFormat="1" ht="25.5" customHeight="1" x14ac:dyDescent="0.25">
      <c r="A409" s="431"/>
      <c r="B409" s="515"/>
      <c r="C409" s="516"/>
      <c r="D409" s="516"/>
      <c r="E409" s="517"/>
      <c r="F409" s="538"/>
      <c r="G409" s="538"/>
      <c r="H409" s="539" t="s">
        <v>139</v>
      </c>
      <c r="I409" s="539" t="s">
        <v>87</v>
      </c>
      <c r="J409" s="540">
        <v>0</v>
      </c>
      <c r="K409" s="540">
        <v>0</v>
      </c>
      <c r="L409" s="540">
        <v>440.7</v>
      </c>
      <c r="M409" s="540">
        <v>0</v>
      </c>
      <c r="N409" s="540">
        <v>0</v>
      </c>
      <c r="O409" s="540">
        <v>0</v>
      </c>
      <c r="P409" s="505"/>
      <c r="R409" s="505">
        <v>0</v>
      </c>
      <c r="S409" s="505"/>
      <c r="T409" s="505"/>
    </row>
    <row r="410" spans="1:20" s="19" customFormat="1" ht="24.75" customHeight="1" x14ac:dyDescent="0.2">
      <c r="A410" s="431"/>
      <c r="B410" s="518"/>
      <c r="C410" s="550"/>
      <c r="D410" s="551"/>
      <c r="E410" s="550"/>
      <c r="F410" s="539" t="s">
        <v>125</v>
      </c>
      <c r="G410" s="539" t="s">
        <v>60</v>
      </c>
      <c r="H410" s="539"/>
      <c r="I410" s="539"/>
      <c r="J410" s="540">
        <f>J412+J413+J414+J415+J416</f>
        <v>1507</v>
      </c>
      <c r="K410" s="540">
        <f t="shared" ref="K410:O410" si="101">K412+K413+K414+K415+K416</f>
        <v>1507</v>
      </c>
      <c r="L410" s="540">
        <f t="shared" si="101"/>
        <v>4701.1000000000004</v>
      </c>
      <c r="M410" s="540">
        <f>M411+M412+M413+M414+M415+M416</f>
        <v>371221</v>
      </c>
      <c r="N410" s="540">
        <f t="shared" si="101"/>
        <v>89657</v>
      </c>
      <c r="O410" s="540">
        <f t="shared" si="101"/>
        <v>0</v>
      </c>
      <c r="P410" s="505"/>
      <c r="R410" s="505"/>
      <c r="S410" s="505"/>
      <c r="T410" s="505"/>
    </row>
    <row r="411" spans="1:20" s="19" customFormat="1" ht="22.5" customHeight="1" x14ac:dyDescent="0.2">
      <c r="A411" s="431"/>
      <c r="B411" s="518"/>
      <c r="C411" s="519" t="s">
        <v>728</v>
      </c>
      <c r="D411" s="520" t="s">
        <v>729</v>
      </c>
      <c r="E411" s="521" t="s">
        <v>730</v>
      </c>
      <c r="F411" s="541"/>
      <c r="G411" s="541"/>
      <c r="H411" s="541" t="s">
        <v>731</v>
      </c>
      <c r="I411" s="541"/>
      <c r="J411" s="542">
        <v>0</v>
      </c>
      <c r="K411" s="542">
        <v>0</v>
      </c>
      <c r="L411" s="542">
        <v>0</v>
      </c>
      <c r="M411" s="542">
        <f>8397.2+159544.9</f>
        <v>167942.1</v>
      </c>
      <c r="N411" s="542">
        <v>0</v>
      </c>
      <c r="O411" s="542">
        <v>0</v>
      </c>
      <c r="P411" s="505"/>
      <c r="R411" s="505"/>
      <c r="S411" s="505"/>
      <c r="T411" s="505"/>
    </row>
    <row r="412" spans="1:20" s="525" customFormat="1" ht="24.75" customHeight="1" x14ac:dyDescent="0.2">
      <c r="A412" s="431"/>
      <c r="B412" s="518"/>
      <c r="C412" s="522"/>
      <c r="D412" s="523"/>
      <c r="E412" s="524"/>
      <c r="F412" s="258" t="s">
        <v>125</v>
      </c>
      <c r="G412" s="258" t="s">
        <v>60</v>
      </c>
      <c r="H412" s="258" t="s">
        <v>732</v>
      </c>
      <c r="I412" s="258" t="s">
        <v>726</v>
      </c>
      <c r="J412" s="116">
        <v>0</v>
      </c>
      <c r="K412" s="116">
        <v>0</v>
      </c>
      <c r="L412" s="116">
        <v>0</v>
      </c>
      <c r="M412" s="116">
        <f>2663+16358.8</f>
        <v>19021.8</v>
      </c>
      <c r="N412" s="116">
        <f>10115+62135</f>
        <v>72250</v>
      </c>
      <c r="O412" s="116">
        <v>0</v>
      </c>
      <c r="R412" s="526"/>
      <c r="S412" s="526"/>
      <c r="T412" s="526"/>
    </row>
    <row r="413" spans="1:20" s="34" customFormat="1" ht="24.75" customHeight="1" x14ac:dyDescent="0.2">
      <c r="A413" s="431"/>
      <c r="B413" s="518"/>
      <c r="C413" s="522"/>
      <c r="D413" s="527"/>
      <c r="E413" s="512"/>
      <c r="F413" s="541"/>
      <c r="G413" s="541"/>
      <c r="H413" s="541" t="s">
        <v>733</v>
      </c>
      <c r="I413" s="541" t="s">
        <v>726</v>
      </c>
      <c r="J413" s="542">
        <v>1507</v>
      </c>
      <c r="K413" s="542">
        <v>1507</v>
      </c>
      <c r="L413" s="542">
        <v>4701.1000000000004</v>
      </c>
      <c r="M413" s="542">
        <v>20453.599999999999</v>
      </c>
      <c r="N413" s="542">
        <v>17407</v>
      </c>
      <c r="O413" s="542">
        <v>0</v>
      </c>
      <c r="R413" s="528"/>
      <c r="S413" s="528"/>
      <c r="T413" s="528"/>
    </row>
    <row r="414" spans="1:20" s="34" customFormat="1" ht="30" customHeight="1" x14ac:dyDescent="0.2">
      <c r="A414" s="431"/>
      <c r="B414" s="518"/>
      <c r="C414" s="529"/>
      <c r="D414" s="512"/>
      <c r="E414" s="512" t="s">
        <v>727</v>
      </c>
      <c r="F414" s="541"/>
      <c r="G414" s="541"/>
      <c r="H414" s="541" t="s">
        <v>733</v>
      </c>
      <c r="I414" s="541" t="s">
        <v>33</v>
      </c>
      <c r="J414" s="542">
        <v>0</v>
      </c>
      <c r="K414" s="542">
        <v>0</v>
      </c>
      <c r="L414" s="542">
        <v>0</v>
      </c>
      <c r="M414" s="542">
        <v>18</v>
      </c>
      <c r="N414" s="542">
        <v>0</v>
      </c>
      <c r="O414" s="542">
        <v>0</v>
      </c>
      <c r="R414" s="528"/>
      <c r="S414" s="528"/>
      <c r="T414" s="528"/>
    </row>
    <row r="415" spans="1:20" s="34" customFormat="1" ht="23.25" customHeight="1" x14ac:dyDescent="0.2">
      <c r="A415" s="431"/>
      <c r="B415" s="518"/>
      <c r="C415" s="520" t="s">
        <v>734</v>
      </c>
      <c r="D415" s="530"/>
      <c r="E415" s="520" t="s">
        <v>735</v>
      </c>
      <c r="F415" s="541"/>
      <c r="G415" s="541"/>
      <c r="H415" s="541" t="s">
        <v>736</v>
      </c>
      <c r="I415" s="541" t="s">
        <v>726</v>
      </c>
      <c r="J415" s="542">
        <v>0</v>
      </c>
      <c r="K415" s="542">
        <v>0</v>
      </c>
      <c r="L415" s="542">
        <v>0</v>
      </c>
      <c r="M415" s="542">
        <f>420.7+83579.2</f>
        <v>83999.9</v>
      </c>
      <c r="N415" s="542">
        <v>0</v>
      </c>
      <c r="O415" s="542">
        <v>0</v>
      </c>
      <c r="R415" s="528"/>
      <c r="S415" s="528"/>
      <c r="T415" s="528"/>
    </row>
    <row r="416" spans="1:20" s="34" customFormat="1" ht="30.75" customHeight="1" x14ac:dyDescent="0.2">
      <c r="A416" s="431"/>
      <c r="B416" s="518"/>
      <c r="C416" s="523"/>
      <c r="D416" s="531"/>
      <c r="E416" s="523"/>
      <c r="F416" s="541"/>
      <c r="G416" s="541"/>
      <c r="H416" s="541" t="s">
        <v>737</v>
      </c>
      <c r="I416" s="541" t="s">
        <v>726</v>
      </c>
      <c r="J416" s="542">
        <v>0</v>
      </c>
      <c r="K416" s="542">
        <v>0</v>
      </c>
      <c r="L416" s="542">
        <v>0</v>
      </c>
      <c r="M416" s="542">
        <v>79785.600000000006</v>
      </c>
      <c r="N416" s="542">
        <v>0</v>
      </c>
      <c r="O416" s="542">
        <v>0</v>
      </c>
      <c r="R416" s="528"/>
      <c r="S416" s="528"/>
      <c r="T416" s="528"/>
    </row>
    <row r="417" spans="1:20" s="34" customFormat="1" ht="29.25" customHeight="1" x14ac:dyDescent="0.2">
      <c r="A417" s="431"/>
      <c r="B417" s="464" t="s">
        <v>738</v>
      </c>
      <c r="C417" s="552"/>
      <c r="D417" s="553"/>
      <c r="E417" s="552"/>
      <c r="F417" s="539" t="s">
        <v>109</v>
      </c>
      <c r="G417" s="539" t="s">
        <v>19</v>
      </c>
      <c r="H417" s="539"/>
      <c r="I417" s="539"/>
      <c r="J417" s="540">
        <f>J418+J419+J420</f>
        <v>191.10999999999999</v>
      </c>
      <c r="K417" s="540">
        <f t="shared" ref="K417:O417" si="102">K418+K419+K420</f>
        <v>191.10999999999999</v>
      </c>
      <c r="L417" s="540">
        <f t="shared" si="102"/>
        <v>7.41</v>
      </c>
      <c r="M417" s="540">
        <f t="shared" si="102"/>
        <v>0</v>
      </c>
      <c r="N417" s="540">
        <f t="shared" si="102"/>
        <v>0</v>
      </c>
      <c r="O417" s="540">
        <f t="shared" si="102"/>
        <v>0</v>
      </c>
      <c r="R417" s="528"/>
      <c r="S417" s="528"/>
      <c r="T417" s="528"/>
    </row>
    <row r="418" spans="1:20" s="525" customFormat="1" ht="28.5" customHeight="1" x14ac:dyDescent="0.2">
      <c r="A418" s="431"/>
      <c r="B418" s="464"/>
      <c r="C418" s="16" t="s">
        <v>739</v>
      </c>
      <c r="D418" s="17" t="s">
        <v>740</v>
      </c>
      <c r="E418" s="16" t="s">
        <v>727</v>
      </c>
      <c r="F418" s="539"/>
      <c r="G418" s="539"/>
      <c r="H418" s="539" t="s">
        <v>741</v>
      </c>
      <c r="I418" s="539" t="s">
        <v>726</v>
      </c>
      <c r="J418" s="543">
        <v>0</v>
      </c>
      <c r="K418" s="543">
        <v>0</v>
      </c>
      <c r="L418" s="543">
        <v>0</v>
      </c>
      <c r="M418" s="543">
        <v>0</v>
      </c>
      <c r="N418" s="543">
        <v>0</v>
      </c>
      <c r="O418" s="543">
        <v>0</v>
      </c>
      <c r="R418" s="526"/>
    </row>
    <row r="419" spans="1:20" s="19" customFormat="1" ht="21" customHeight="1" x14ac:dyDescent="0.2">
      <c r="A419" s="431"/>
      <c r="B419" s="464"/>
      <c r="C419" s="16" t="s">
        <v>739</v>
      </c>
      <c r="D419" s="28" t="s">
        <v>34</v>
      </c>
      <c r="E419" s="16" t="s">
        <v>727</v>
      </c>
      <c r="F419" s="192" t="s">
        <v>43</v>
      </c>
      <c r="G419" s="539"/>
      <c r="H419" s="539" t="s">
        <v>741</v>
      </c>
      <c r="I419" s="539" t="s">
        <v>33</v>
      </c>
      <c r="J419" s="540">
        <v>191.1</v>
      </c>
      <c r="K419" s="540">
        <v>191.1</v>
      </c>
      <c r="L419" s="544">
        <v>7.4</v>
      </c>
      <c r="M419" s="544">
        <v>0</v>
      </c>
      <c r="N419" s="544">
        <v>0</v>
      </c>
      <c r="O419" s="544">
        <v>0</v>
      </c>
    </row>
    <row r="420" spans="1:20" s="19" customFormat="1" ht="20.25" customHeight="1" x14ac:dyDescent="0.2">
      <c r="A420" s="431"/>
      <c r="B420" s="464"/>
      <c r="C420" s="16" t="s">
        <v>739</v>
      </c>
      <c r="D420" s="28" t="s">
        <v>742</v>
      </c>
      <c r="E420" s="32" t="s">
        <v>743</v>
      </c>
      <c r="F420" s="539"/>
      <c r="G420" s="539"/>
      <c r="H420" s="539" t="s">
        <v>741</v>
      </c>
      <c r="I420" s="539" t="s">
        <v>39</v>
      </c>
      <c r="J420" s="540">
        <v>0.01</v>
      </c>
      <c r="K420" s="540">
        <v>0.01</v>
      </c>
      <c r="L420" s="544">
        <v>0.01</v>
      </c>
      <c r="M420" s="544">
        <v>0</v>
      </c>
      <c r="N420" s="544">
        <v>0</v>
      </c>
      <c r="O420" s="544">
        <v>0</v>
      </c>
    </row>
    <row r="421" spans="1:20" s="19" customFormat="1" ht="24.75" customHeight="1" x14ac:dyDescent="0.2">
      <c r="A421" s="431"/>
      <c r="B421" s="464"/>
      <c r="C421" s="554"/>
      <c r="D421" s="552"/>
      <c r="E421" s="554"/>
      <c r="F421" s="539" t="s">
        <v>109</v>
      </c>
      <c r="G421" s="539" t="s">
        <v>60</v>
      </c>
      <c r="H421" s="539"/>
      <c r="I421" s="539"/>
      <c r="J421" s="540">
        <f>J422+J423+J424+J425+J426+J427+J428</f>
        <v>356235.8</v>
      </c>
      <c r="K421" s="540">
        <f t="shared" ref="K421:O421" si="103">K422+K423+K424+K425+K426+K427+K428</f>
        <v>301851.7</v>
      </c>
      <c r="L421" s="540">
        <f t="shared" si="103"/>
        <v>313099.2</v>
      </c>
      <c r="M421" s="540">
        <f>M422+M423+M424+M425+M426+M427+M428</f>
        <v>25597.1</v>
      </c>
      <c r="N421" s="540">
        <f t="shared" si="103"/>
        <v>54650.1</v>
      </c>
      <c r="O421" s="540">
        <f t="shared" si="103"/>
        <v>0</v>
      </c>
    </row>
    <row r="422" spans="1:20" s="19" customFormat="1" ht="28.5" customHeight="1" x14ac:dyDescent="0.2">
      <c r="A422" s="431"/>
      <c r="B422" s="464"/>
      <c r="C422" s="472" t="s">
        <v>744</v>
      </c>
      <c r="D422" s="17"/>
      <c r="E422" s="16" t="s">
        <v>745</v>
      </c>
      <c r="F422" s="539"/>
      <c r="G422" s="539"/>
      <c r="H422" s="539" t="s">
        <v>746</v>
      </c>
      <c r="I422" s="539" t="s">
        <v>31</v>
      </c>
      <c r="J422" s="540">
        <v>0</v>
      </c>
      <c r="K422" s="540">
        <v>0</v>
      </c>
      <c r="L422" s="544">
        <v>0</v>
      </c>
      <c r="M422" s="544">
        <v>0</v>
      </c>
      <c r="N422" s="544">
        <v>0</v>
      </c>
      <c r="O422" s="544">
        <v>0</v>
      </c>
    </row>
    <row r="423" spans="1:20" s="34" customFormat="1" ht="30" customHeight="1" x14ac:dyDescent="0.2">
      <c r="A423" s="431"/>
      <c r="B423" s="464"/>
      <c r="C423" s="472" t="s">
        <v>744</v>
      </c>
      <c r="D423" s="532"/>
      <c r="E423" s="16" t="s">
        <v>745</v>
      </c>
      <c r="F423" s="545"/>
      <c r="G423" s="545"/>
      <c r="H423" s="545" t="s">
        <v>746</v>
      </c>
      <c r="I423" s="545" t="s">
        <v>726</v>
      </c>
      <c r="J423" s="542">
        <v>994.4</v>
      </c>
      <c r="K423" s="542">
        <v>994.4</v>
      </c>
      <c r="L423" s="542">
        <v>40725.9</v>
      </c>
      <c r="M423" s="542">
        <v>25127</v>
      </c>
      <c r="N423" s="542">
        <v>54180</v>
      </c>
      <c r="O423" s="542">
        <v>0</v>
      </c>
    </row>
    <row r="424" spans="1:20" s="34" customFormat="1" ht="29.25" customHeight="1" x14ac:dyDescent="0.2">
      <c r="A424" s="431"/>
      <c r="B424" s="464"/>
      <c r="C424" s="16" t="s">
        <v>739</v>
      </c>
      <c r="D424" s="28" t="s">
        <v>34</v>
      </c>
      <c r="E424" s="473" t="s">
        <v>747</v>
      </c>
      <c r="F424" s="545"/>
      <c r="G424" s="545"/>
      <c r="H424" s="545" t="s">
        <v>746</v>
      </c>
      <c r="I424" s="545" t="s">
        <v>33</v>
      </c>
      <c r="J424" s="542">
        <v>485.1</v>
      </c>
      <c r="K424" s="542">
        <v>485.1</v>
      </c>
      <c r="L424" s="542">
        <v>85.3</v>
      </c>
      <c r="M424" s="542">
        <v>470.1</v>
      </c>
      <c r="N424" s="542">
        <v>470.1</v>
      </c>
      <c r="O424" s="542">
        <v>0</v>
      </c>
    </row>
    <row r="425" spans="1:20" s="34" customFormat="1" ht="33" customHeight="1" x14ac:dyDescent="0.2">
      <c r="A425" s="431"/>
      <c r="B425" s="464"/>
      <c r="C425" s="16" t="s">
        <v>748</v>
      </c>
      <c r="D425" s="28" t="s">
        <v>742</v>
      </c>
      <c r="E425" s="32" t="s">
        <v>743</v>
      </c>
      <c r="F425" s="545"/>
      <c r="G425" s="545"/>
      <c r="H425" s="545" t="s">
        <v>746</v>
      </c>
      <c r="I425" s="545" t="s">
        <v>39</v>
      </c>
      <c r="J425" s="542">
        <v>0</v>
      </c>
      <c r="K425" s="542">
        <v>0</v>
      </c>
      <c r="L425" s="542">
        <v>0</v>
      </c>
      <c r="M425" s="542">
        <v>0</v>
      </c>
      <c r="N425" s="542">
        <v>0</v>
      </c>
      <c r="O425" s="542">
        <v>0</v>
      </c>
    </row>
    <row r="426" spans="1:20" s="34" customFormat="1" ht="31.5" customHeight="1" x14ac:dyDescent="0.2">
      <c r="A426" s="431"/>
      <c r="B426" s="464"/>
      <c r="C426" s="472" t="s">
        <v>744</v>
      </c>
      <c r="D426" s="532"/>
      <c r="E426" s="16" t="s">
        <v>745</v>
      </c>
      <c r="F426" s="545"/>
      <c r="G426" s="545"/>
      <c r="H426" s="545" t="s">
        <v>749</v>
      </c>
      <c r="I426" s="545" t="s">
        <v>726</v>
      </c>
      <c r="J426" s="542">
        <v>348328.1</v>
      </c>
      <c r="K426" s="542">
        <v>293944</v>
      </c>
      <c r="L426" s="542">
        <v>212898.8</v>
      </c>
      <c r="M426" s="542">
        <v>0</v>
      </c>
      <c r="N426" s="542">
        <v>0</v>
      </c>
      <c r="O426" s="542">
        <v>0</v>
      </c>
    </row>
    <row r="427" spans="1:20" s="34" customFormat="1" ht="21.75" customHeight="1" x14ac:dyDescent="0.2">
      <c r="A427" s="431"/>
      <c r="B427" s="464"/>
      <c r="C427" s="533" t="s">
        <v>750</v>
      </c>
      <c r="D427" s="532"/>
      <c r="E427" s="16" t="s">
        <v>751</v>
      </c>
      <c r="F427" s="545"/>
      <c r="G427" s="545"/>
      <c r="H427" s="545" t="s">
        <v>752</v>
      </c>
      <c r="I427" s="545" t="s">
        <v>726</v>
      </c>
      <c r="J427" s="542">
        <v>0</v>
      </c>
      <c r="K427" s="542">
        <v>0</v>
      </c>
      <c r="L427" s="542">
        <v>57246.5</v>
      </c>
      <c r="M427" s="542">
        <v>0</v>
      </c>
      <c r="N427" s="542">
        <v>0</v>
      </c>
      <c r="O427" s="542">
        <v>0</v>
      </c>
    </row>
    <row r="428" spans="1:20" s="34" customFormat="1" ht="24" customHeight="1" x14ac:dyDescent="0.2">
      <c r="A428" s="431"/>
      <c r="B428" s="464"/>
      <c r="C428" s="534" t="s">
        <v>753</v>
      </c>
      <c r="D428" s="532" t="s">
        <v>754</v>
      </c>
      <c r="E428" s="473" t="s">
        <v>751</v>
      </c>
      <c r="F428" s="545"/>
      <c r="G428" s="545"/>
      <c r="H428" s="545" t="s">
        <v>755</v>
      </c>
      <c r="I428" s="545" t="s">
        <v>726</v>
      </c>
      <c r="J428" s="542">
        <v>6428.2</v>
      </c>
      <c r="K428" s="542">
        <v>6428.2</v>
      </c>
      <c r="L428" s="542">
        <v>2142.6999999999998</v>
      </c>
      <c r="M428" s="542">
        <v>0</v>
      </c>
      <c r="N428" s="542">
        <v>0</v>
      </c>
      <c r="O428" s="542">
        <v>0</v>
      </c>
    </row>
    <row r="429" spans="1:20" s="34" customFormat="1" ht="20.25" customHeight="1" x14ac:dyDescent="0.2">
      <c r="A429" s="431"/>
      <c r="B429" s="535" t="s">
        <v>756</v>
      </c>
      <c r="C429" s="550"/>
      <c r="D429" s="479"/>
      <c r="E429" s="32"/>
      <c r="F429" s="555" t="s">
        <v>109</v>
      </c>
      <c r="G429" s="555" t="s">
        <v>20</v>
      </c>
      <c r="H429" s="555"/>
      <c r="I429" s="555"/>
      <c r="J429" s="540">
        <f>J430+J431+J432</f>
        <v>73.3</v>
      </c>
      <c r="K429" s="540">
        <f t="shared" ref="K429:O429" si="104">K430+K431+K432</f>
        <v>73.3</v>
      </c>
      <c r="L429" s="540">
        <f t="shared" si="104"/>
        <v>406.1</v>
      </c>
      <c r="M429" s="540">
        <f>M430+M431+M432</f>
        <v>4625.7</v>
      </c>
      <c r="N429" s="540">
        <f t="shared" si="104"/>
        <v>66683.600000000006</v>
      </c>
      <c r="O429" s="540">
        <f t="shared" si="104"/>
        <v>19071</v>
      </c>
    </row>
    <row r="430" spans="1:20" s="34" customFormat="1" ht="22.5" customHeight="1" x14ac:dyDescent="0.2">
      <c r="A430" s="431"/>
      <c r="B430" s="535"/>
      <c r="C430" s="556" t="s">
        <v>757</v>
      </c>
      <c r="D430" s="479"/>
      <c r="E430" s="28" t="s">
        <v>745</v>
      </c>
      <c r="F430" s="555"/>
      <c r="G430" s="555"/>
      <c r="H430" s="555" t="s">
        <v>758</v>
      </c>
      <c r="I430" s="555" t="s">
        <v>726</v>
      </c>
      <c r="J430" s="540">
        <v>0</v>
      </c>
      <c r="K430" s="540">
        <v>0</v>
      </c>
      <c r="L430" s="540">
        <v>400</v>
      </c>
      <c r="M430" s="540">
        <v>4552.3999999999996</v>
      </c>
      <c r="N430" s="540">
        <v>34547.9</v>
      </c>
      <c r="O430" s="540">
        <v>18997.7</v>
      </c>
    </row>
    <row r="431" spans="1:20" s="34" customFormat="1" ht="24.75" customHeight="1" x14ac:dyDescent="0.2">
      <c r="A431" s="431"/>
      <c r="B431" s="535"/>
      <c r="C431" s="557"/>
      <c r="D431" s="479" t="s">
        <v>754</v>
      </c>
      <c r="E431" s="32" t="s">
        <v>747</v>
      </c>
      <c r="F431" s="555"/>
      <c r="G431" s="555"/>
      <c r="H431" s="555" t="s">
        <v>758</v>
      </c>
      <c r="I431" s="555" t="s">
        <v>33</v>
      </c>
      <c r="J431" s="540">
        <v>73.3</v>
      </c>
      <c r="K431" s="540">
        <v>73.3</v>
      </c>
      <c r="L431" s="540">
        <v>6.1</v>
      </c>
      <c r="M431" s="540">
        <v>73.3</v>
      </c>
      <c r="N431" s="540">
        <v>73.3</v>
      </c>
      <c r="O431" s="540">
        <v>73.3</v>
      </c>
    </row>
    <row r="432" spans="1:20" s="34" customFormat="1" ht="27.75" customHeight="1" x14ac:dyDescent="0.2">
      <c r="A432" s="431"/>
      <c r="B432" s="535"/>
      <c r="C432" s="557"/>
      <c r="D432" s="558"/>
      <c r="E432" s="551"/>
      <c r="F432" s="555"/>
      <c r="G432" s="555"/>
      <c r="H432" s="555" t="s">
        <v>759</v>
      </c>
      <c r="I432" s="555" t="s">
        <v>726</v>
      </c>
      <c r="J432" s="540">
        <v>0</v>
      </c>
      <c r="K432" s="540">
        <v>0</v>
      </c>
      <c r="L432" s="540">
        <v>0</v>
      </c>
      <c r="M432" s="540">
        <v>0</v>
      </c>
      <c r="N432" s="540">
        <f>1603.2+30459.2</f>
        <v>32062.400000000001</v>
      </c>
      <c r="O432" s="540">
        <v>0</v>
      </c>
    </row>
    <row r="433" spans="1:17" s="34" customFormat="1" ht="32.25" customHeight="1" x14ac:dyDescent="0.2">
      <c r="A433" s="431"/>
      <c r="B433" s="535" t="s">
        <v>760</v>
      </c>
      <c r="C433" s="32"/>
      <c r="D433" s="558"/>
      <c r="E433" s="551"/>
      <c r="F433" s="555" t="s">
        <v>110</v>
      </c>
      <c r="G433" s="555" t="s">
        <v>60</v>
      </c>
      <c r="H433" s="555"/>
      <c r="I433" s="555"/>
      <c r="J433" s="540">
        <f>J434+J435+J436+J437+J438+J439+J440</f>
        <v>13692.6</v>
      </c>
      <c r="K433" s="540">
        <f t="shared" ref="K433:O433" si="105">K434+K435+K436+K437+K438+K439+K440</f>
        <v>13692.6</v>
      </c>
      <c r="L433" s="540">
        <f t="shared" si="105"/>
        <v>44753.1</v>
      </c>
      <c r="M433" s="540">
        <f>M434+M435+M436+M437+M438+M439+M440</f>
        <v>15339</v>
      </c>
      <c r="N433" s="540">
        <f t="shared" si="105"/>
        <v>0.5</v>
      </c>
      <c r="O433" s="540">
        <f t="shared" si="105"/>
        <v>0</v>
      </c>
    </row>
    <row r="434" spans="1:17" s="34" customFormat="1" ht="27.75" customHeight="1" x14ac:dyDescent="0.2">
      <c r="A434" s="431"/>
      <c r="B434" s="535"/>
      <c r="C434" s="559" t="s">
        <v>761</v>
      </c>
      <c r="D434" s="560" t="s">
        <v>762</v>
      </c>
      <c r="E434" s="560" t="s">
        <v>747</v>
      </c>
      <c r="F434" s="555"/>
      <c r="G434" s="555"/>
      <c r="H434" s="555" t="s">
        <v>725</v>
      </c>
      <c r="I434" s="555" t="s">
        <v>31</v>
      </c>
      <c r="J434" s="540">
        <v>1215.0999999999999</v>
      </c>
      <c r="K434" s="540">
        <v>1215.0999999999999</v>
      </c>
      <c r="L434" s="540">
        <v>5</v>
      </c>
      <c r="M434" s="540">
        <v>1339</v>
      </c>
      <c r="N434" s="540">
        <v>0</v>
      </c>
      <c r="O434" s="540">
        <v>0</v>
      </c>
    </row>
    <row r="435" spans="1:17" s="34" customFormat="1" ht="24.75" customHeight="1" x14ac:dyDescent="0.2">
      <c r="A435" s="431"/>
      <c r="B435" s="535"/>
      <c r="C435" s="561"/>
      <c r="D435" s="562"/>
      <c r="E435" s="562"/>
      <c r="F435" s="555"/>
      <c r="G435" s="555"/>
      <c r="H435" s="555" t="s">
        <v>725</v>
      </c>
      <c r="I435" s="555" t="s">
        <v>726</v>
      </c>
      <c r="J435" s="540">
        <v>5</v>
      </c>
      <c r="K435" s="540">
        <v>5</v>
      </c>
      <c r="L435" s="540">
        <v>4965.1000000000004</v>
      </c>
      <c r="M435" s="540">
        <v>0</v>
      </c>
      <c r="N435" s="540">
        <v>0</v>
      </c>
      <c r="O435" s="540">
        <v>0</v>
      </c>
    </row>
    <row r="436" spans="1:17" s="34" customFormat="1" ht="22.5" customHeight="1" x14ac:dyDescent="0.2">
      <c r="A436" s="431"/>
      <c r="B436" s="535"/>
      <c r="C436" s="561"/>
      <c r="D436" s="563"/>
      <c r="E436" s="563"/>
      <c r="F436" s="555"/>
      <c r="G436" s="555"/>
      <c r="H436" s="555" t="s">
        <v>763</v>
      </c>
      <c r="I436" s="555" t="s">
        <v>31</v>
      </c>
      <c r="J436" s="540">
        <v>0</v>
      </c>
      <c r="K436" s="540">
        <v>0</v>
      </c>
      <c r="L436" s="540">
        <v>750</v>
      </c>
      <c r="M436" s="540">
        <v>14000</v>
      </c>
      <c r="N436" s="540">
        <v>0</v>
      </c>
      <c r="O436" s="540">
        <v>0</v>
      </c>
    </row>
    <row r="437" spans="1:17" s="34" customFormat="1" ht="24" customHeight="1" x14ac:dyDescent="0.2">
      <c r="A437" s="431"/>
      <c r="B437" s="535"/>
      <c r="C437" s="561"/>
      <c r="D437" s="479" t="s">
        <v>754</v>
      </c>
      <c r="E437" s="32" t="s">
        <v>747</v>
      </c>
      <c r="F437" s="555"/>
      <c r="G437" s="555"/>
      <c r="H437" s="555" t="s">
        <v>725</v>
      </c>
      <c r="I437" s="555" t="s">
        <v>33</v>
      </c>
      <c r="J437" s="540">
        <v>2</v>
      </c>
      <c r="K437" s="540">
        <v>2</v>
      </c>
      <c r="L437" s="540">
        <v>4</v>
      </c>
      <c r="M437" s="540">
        <v>0</v>
      </c>
      <c r="N437" s="540">
        <v>0.5</v>
      </c>
      <c r="O437" s="540">
        <v>0</v>
      </c>
    </row>
    <row r="438" spans="1:17" s="34" customFormat="1" ht="27.75" customHeight="1" x14ac:dyDescent="0.2">
      <c r="A438" s="431"/>
      <c r="B438" s="535"/>
      <c r="C438" s="561"/>
      <c r="D438" s="556" t="s">
        <v>764</v>
      </c>
      <c r="E438" s="32"/>
      <c r="F438" s="555"/>
      <c r="G438" s="555"/>
      <c r="H438" s="555" t="s">
        <v>763</v>
      </c>
      <c r="I438" s="555" t="s">
        <v>726</v>
      </c>
      <c r="J438" s="540">
        <v>3000</v>
      </c>
      <c r="K438" s="540">
        <v>3000</v>
      </c>
      <c r="L438" s="540">
        <v>39029</v>
      </c>
      <c r="M438" s="540"/>
      <c r="N438" s="540">
        <v>0</v>
      </c>
      <c r="O438" s="540">
        <v>0</v>
      </c>
    </row>
    <row r="439" spans="1:17" s="34" customFormat="1" ht="19.5" customHeight="1" x14ac:dyDescent="0.2">
      <c r="A439" s="431"/>
      <c r="B439" s="535"/>
      <c r="C439" s="561"/>
      <c r="D439" s="557"/>
      <c r="E439" s="32"/>
      <c r="F439" s="555"/>
      <c r="G439" s="555"/>
      <c r="H439" s="555" t="s">
        <v>765</v>
      </c>
      <c r="I439" s="555" t="s">
        <v>31</v>
      </c>
      <c r="J439" s="540">
        <v>5000</v>
      </c>
      <c r="K439" s="540">
        <v>5000</v>
      </c>
      <c r="L439" s="540">
        <v>0</v>
      </c>
      <c r="M439" s="540">
        <v>0</v>
      </c>
      <c r="N439" s="540">
        <v>0</v>
      </c>
      <c r="O439" s="540">
        <v>0</v>
      </c>
    </row>
    <row r="440" spans="1:17" s="34" customFormat="1" ht="24.75" customHeight="1" x14ac:dyDescent="0.2">
      <c r="A440" s="431"/>
      <c r="B440" s="535"/>
      <c r="C440" s="564"/>
      <c r="D440" s="565"/>
      <c r="E440" s="32"/>
      <c r="F440" s="555"/>
      <c r="G440" s="555"/>
      <c r="H440" s="555" t="s">
        <v>766</v>
      </c>
      <c r="I440" s="555" t="s">
        <v>31</v>
      </c>
      <c r="J440" s="540">
        <v>4470.5</v>
      </c>
      <c r="K440" s="540">
        <v>4470.5</v>
      </c>
      <c r="L440" s="540">
        <v>0</v>
      </c>
      <c r="M440" s="540">
        <v>0</v>
      </c>
      <c r="N440" s="540">
        <v>0</v>
      </c>
      <c r="O440" s="540">
        <v>0</v>
      </c>
    </row>
    <row r="441" spans="1:17" s="34" customFormat="1" ht="31.5" customHeight="1" x14ac:dyDescent="0.2">
      <c r="A441" s="431"/>
      <c r="B441" s="506" t="s">
        <v>767</v>
      </c>
      <c r="C441" s="566"/>
      <c r="D441" s="567"/>
      <c r="E441" s="32"/>
      <c r="F441" s="555" t="s">
        <v>124</v>
      </c>
      <c r="G441" s="555" t="s">
        <v>19</v>
      </c>
      <c r="H441" s="555"/>
      <c r="I441" s="555"/>
      <c r="J441" s="540">
        <f>J442+J443</f>
        <v>92.5</v>
      </c>
      <c r="K441" s="540">
        <f t="shared" ref="K441:L441" si="106">K442+K443</f>
        <v>92.5</v>
      </c>
      <c r="L441" s="540">
        <f t="shared" si="106"/>
        <v>5.8</v>
      </c>
      <c r="M441" s="540">
        <f>M442+M443</f>
        <v>0</v>
      </c>
      <c r="N441" s="540">
        <f t="shared" ref="N441:O441" si="107">N442+N443</f>
        <v>0</v>
      </c>
      <c r="O441" s="540">
        <f t="shared" si="107"/>
        <v>0</v>
      </c>
    </row>
    <row r="442" spans="1:17" s="34" customFormat="1" ht="28.5" customHeight="1" x14ac:dyDescent="0.2">
      <c r="A442" s="431"/>
      <c r="B442" s="507"/>
      <c r="C442" s="568" t="s">
        <v>768</v>
      </c>
      <c r="D442" s="479" t="s">
        <v>754</v>
      </c>
      <c r="E442" s="32" t="s">
        <v>747</v>
      </c>
      <c r="F442" s="555"/>
      <c r="G442" s="555"/>
      <c r="H442" s="555" t="s">
        <v>769</v>
      </c>
      <c r="I442" s="555" t="s">
        <v>33</v>
      </c>
      <c r="J442" s="540">
        <v>92.5</v>
      </c>
      <c r="K442" s="540">
        <v>92.5</v>
      </c>
      <c r="L442" s="540">
        <v>5.6</v>
      </c>
      <c r="M442" s="540"/>
      <c r="N442" s="540"/>
      <c r="O442" s="540"/>
    </row>
    <row r="443" spans="1:17" s="536" customFormat="1" ht="30" customHeight="1" x14ac:dyDescent="0.25">
      <c r="A443" s="570"/>
      <c r="B443" s="515"/>
      <c r="C443" s="569"/>
      <c r="D443" s="28" t="s">
        <v>770</v>
      </c>
      <c r="E443" s="32"/>
      <c r="F443" s="539"/>
      <c r="G443" s="539"/>
      <c r="H443" s="539" t="s">
        <v>769</v>
      </c>
      <c r="I443" s="539" t="s">
        <v>39</v>
      </c>
      <c r="J443" s="546">
        <v>0</v>
      </c>
      <c r="K443" s="546">
        <v>0</v>
      </c>
      <c r="L443" s="546">
        <v>0.2</v>
      </c>
      <c r="M443" s="546">
        <v>0</v>
      </c>
      <c r="N443" s="546">
        <v>0</v>
      </c>
      <c r="O443" s="546">
        <v>0</v>
      </c>
    </row>
    <row r="444" spans="1:17" s="10" customFormat="1" ht="37.5" customHeight="1" x14ac:dyDescent="0.3">
      <c r="A444" s="798">
        <v>925</v>
      </c>
      <c r="B444" s="800" t="s">
        <v>814</v>
      </c>
      <c r="C444" s="800"/>
      <c r="D444" s="800"/>
      <c r="E444" s="800"/>
      <c r="F444" s="800"/>
      <c r="G444" s="800"/>
      <c r="H444" s="800"/>
      <c r="I444" s="799"/>
      <c r="J444" s="638">
        <f t="shared" ref="J444:O444" si="108">J445+J541+J562</f>
        <v>2663166.8000000003</v>
      </c>
      <c r="K444" s="638">
        <f t="shared" si="108"/>
        <v>2660112.5</v>
      </c>
      <c r="L444" s="638">
        <f t="shared" si="108"/>
        <v>3130233.5999999996</v>
      </c>
      <c r="M444" s="638">
        <f t="shared" si="108"/>
        <v>2875548.6000000006</v>
      </c>
      <c r="N444" s="638">
        <f t="shared" si="108"/>
        <v>2950253.5999999996</v>
      </c>
      <c r="O444" s="638">
        <f t="shared" si="108"/>
        <v>3137948.3</v>
      </c>
      <c r="P444" s="639"/>
    </row>
    <row r="445" spans="1:17" s="646" customFormat="1" ht="23.25" customHeight="1" x14ac:dyDescent="0.25">
      <c r="A445" s="640">
        <v>925</v>
      </c>
      <c r="B445" s="641" t="s">
        <v>815</v>
      </c>
      <c r="C445" s="642"/>
      <c r="D445" s="642"/>
      <c r="E445" s="642"/>
      <c r="F445" s="642"/>
      <c r="G445" s="642"/>
      <c r="H445" s="642"/>
      <c r="I445" s="643"/>
      <c r="J445" s="644">
        <f t="shared" ref="J445:O445" si="109">J447+J455+J476+J497+J499</f>
        <v>2540720.6</v>
      </c>
      <c r="K445" s="644">
        <f t="shared" si="109"/>
        <v>2540571.6</v>
      </c>
      <c r="L445" s="644">
        <f t="shared" si="109"/>
        <v>2932211.4</v>
      </c>
      <c r="M445" s="644">
        <f t="shared" si="109"/>
        <v>2774867.1000000006</v>
      </c>
      <c r="N445" s="644">
        <f t="shared" si="109"/>
        <v>2857181.4</v>
      </c>
      <c r="O445" s="644">
        <f t="shared" si="109"/>
        <v>3044503.2</v>
      </c>
      <c r="P445" s="645"/>
    </row>
    <row r="446" spans="1:17" s="15" customFormat="1" ht="12.75" customHeight="1" x14ac:dyDescent="0.25">
      <c r="A446" s="647"/>
      <c r="B446" s="648"/>
      <c r="C446" s="648"/>
      <c r="D446" s="648"/>
      <c r="E446" s="648"/>
      <c r="F446" s="648"/>
      <c r="G446" s="648"/>
      <c r="H446" s="648"/>
      <c r="I446" s="648"/>
      <c r="J446" s="648"/>
      <c r="K446" s="648"/>
      <c r="L446" s="649"/>
      <c r="M446" s="650"/>
      <c r="N446" s="650"/>
      <c r="O446" s="650"/>
    </row>
    <row r="447" spans="1:17" s="471" customFormat="1" ht="25.5" customHeight="1" x14ac:dyDescent="0.25">
      <c r="A447" s="651">
        <v>925</v>
      </c>
      <c r="B447" s="652" t="s">
        <v>816</v>
      </c>
      <c r="C447" s="745"/>
      <c r="D447" s="271"/>
      <c r="E447" s="271"/>
      <c r="F447" s="746" t="s">
        <v>109</v>
      </c>
      <c r="G447" s="746" t="s">
        <v>19</v>
      </c>
      <c r="H447" s="271"/>
      <c r="I447" s="271"/>
      <c r="J447" s="747">
        <f t="shared" ref="J447:O447" si="110">SUM(J448:J454)</f>
        <v>913986.3</v>
      </c>
      <c r="K447" s="747">
        <f t="shared" si="110"/>
        <v>913986.3</v>
      </c>
      <c r="L447" s="747">
        <f t="shared" si="110"/>
        <v>1096847.4000000001</v>
      </c>
      <c r="M447" s="747">
        <f t="shared" si="110"/>
        <v>953293.99999999988</v>
      </c>
      <c r="N447" s="747">
        <f t="shared" si="110"/>
        <v>1031219.1</v>
      </c>
      <c r="O447" s="747">
        <f t="shared" si="110"/>
        <v>1115486.6000000001</v>
      </c>
    </row>
    <row r="448" spans="1:17" ht="73.5" customHeight="1" x14ac:dyDescent="0.3">
      <c r="A448" s="653"/>
      <c r="B448" s="654"/>
      <c r="C448" s="655" t="s">
        <v>817</v>
      </c>
      <c r="D448" s="656" t="s">
        <v>99</v>
      </c>
      <c r="E448" s="657" t="s">
        <v>818</v>
      </c>
      <c r="F448" s="658" t="s">
        <v>109</v>
      </c>
      <c r="G448" s="659" t="s">
        <v>19</v>
      </c>
      <c r="H448" s="658" t="s">
        <v>819</v>
      </c>
      <c r="I448" s="658" t="s">
        <v>777</v>
      </c>
      <c r="J448" s="660">
        <v>330774</v>
      </c>
      <c r="K448" s="660">
        <v>330774</v>
      </c>
      <c r="L448" s="660">
        <v>383787.2</v>
      </c>
      <c r="M448" s="660">
        <f>217066700/1000</f>
        <v>217066.7</v>
      </c>
      <c r="N448" s="660">
        <f>230169400/1000</f>
        <v>230169.4</v>
      </c>
      <c r="O448" s="660">
        <f>263944900/1000</f>
        <v>263944.90000000002</v>
      </c>
      <c r="Q448" s="661"/>
    </row>
    <row r="449" spans="1:17" ht="25.5" customHeight="1" x14ac:dyDescent="0.3">
      <c r="A449" s="653"/>
      <c r="B449" s="654"/>
      <c r="C449" s="662"/>
      <c r="D449" s="663"/>
      <c r="E449" s="664"/>
      <c r="F449" s="658" t="s">
        <v>109</v>
      </c>
      <c r="G449" s="659" t="s">
        <v>19</v>
      </c>
      <c r="H449" s="658" t="s">
        <v>819</v>
      </c>
      <c r="I449" s="658" t="s">
        <v>820</v>
      </c>
      <c r="J449" s="660">
        <v>0</v>
      </c>
      <c r="K449" s="660">
        <v>0</v>
      </c>
      <c r="L449" s="660">
        <v>0.1</v>
      </c>
      <c r="M449" s="660">
        <v>0</v>
      </c>
      <c r="N449" s="660">
        <v>0</v>
      </c>
      <c r="O449" s="660">
        <v>0</v>
      </c>
      <c r="Q449" s="661"/>
    </row>
    <row r="450" spans="1:17" ht="50.25" customHeight="1" x14ac:dyDescent="0.3">
      <c r="A450" s="653"/>
      <c r="B450" s="654"/>
      <c r="C450" s="655" t="s">
        <v>821</v>
      </c>
      <c r="D450" s="663"/>
      <c r="E450" s="664"/>
      <c r="F450" s="658" t="s">
        <v>109</v>
      </c>
      <c r="G450" s="659" t="s">
        <v>19</v>
      </c>
      <c r="H450" s="658" t="s">
        <v>822</v>
      </c>
      <c r="I450" s="658" t="s">
        <v>777</v>
      </c>
      <c r="J450" s="660">
        <v>478109.4</v>
      </c>
      <c r="K450" s="660">
        <v>478109.4</v>
      </c>
      <c r="L450" s="660">
        <v>610387.80000000005</v>
      </c>
      <c r="M450" s="660">
        <f>614174700/1000</f>
        <v>614174.69999999995</v>
      </c>
      <c r="N450" s="660">
        <f>678825400/1000</f>
        <v>678825.4</v>
      </c>
      <c r="O450" s="660">
        <f>729139700/1000</f>
        <v>729139.7</v>
      </c>
      <c r="Q450" s="661"/>
    </row>
    <row r="451" spans="1:17" ht="50.25" customHeight="1" x14ac:dyDescent="0.3">
      <c r="A451" s="653"/>
      <c r="B451" s="654"/>
      <c r="C451" s="662"/>
      <c r="D451" s="663"/>
      <c r="E451" s="664"/>
      <c r="F451" s="658" t="s">
        <v>109</v>
      </c>
      <c r="G451" s="659" t="s">
        <v>19</v>
      </c>
      <c r="H451" s="658" t="s">
        <v>822</v>
      </c>
      <c r="I451" s="658" t="s">
        <v>780</v>
      </c>
      <c r="J451" s="660">
        <v>71034.5</v>
      </c>
      <c r="K451" s="660">
        <v>71034.5</v>
      </c>
      <c r="L451" s="660">
        <v>68897.8</v>
      </c>
      <c r="M451" s="660">
        <f>117773700/1000</f>
        <v>117773.7</v>
      </c>
      <c r="N451" s="660">
        <f t="shared" ref="N451:O451" si="111">117773700/1000</f>
        <v>117773.7</v>
      </c>
      <c r="O451" s="660">
        <f t="shared" si="111"/>
        <v>117773.7</v>
      </c>
      <c r="Q451" s="661"/>
    </row>
    <row r="452" spans="1:17" ht="57.75" customHeight="1" x14ac:dyDescent="0.3">
      <c r="A452" s="653"/>
      <c r="B452" s="654"/>
      <c r="C452" s="665" t="s">
        <v>821</v>
      </c>
      <c r="D452" s="663"/>
      <c r="E452" s="664"/>
      <c r="F452" s="658" t="s">
        <v>109</v>
      </c>
      <c r="G452" s="659" t="s">
        <v>19</v>
      </c>
      <c r="H452" s="658" t="s">
        <v>823</v>
      </c>
      <c r="I452" s="658" t="s">
        <v>780</v>
      </c>
      <c r="J452" s="660">
        <v>6580.1</v>
      </c>
      <c r="K452" s="660">
        <v>6580.1</v>
      </c>
      <c r="L452" s="660">
        <v>6924.5</v>
      </c>
      <c r="M452" s="660">
        <v>4278.9000000000005</v>
      </c>
      <c r="N452" s="660">
        <v>4450.6000000000004</v>
      </c>
      <c r="O452" s="660">
        <v>4628.3</v>
      </c>
      <c r="Q452" s="661"/>
    </row>
    <row r="453" spans="1:17" s="667" customFormat="1" ht="54" customHeight="1" x14ac:dyDescent="0.3">
      <c r="A453" s="653"/>
      <c r="B453" s="654"/>
      <c r="C453" s="665" t="s">
        <v>824</v>
      </c>
      <c r="D453" s="663"/>
      <c r="E453" s="666" t="s">
        <v>825</v>
      </c>
      <c r="F453" s="658" t="s">
        <v>109</v>
      </c>
      <c r="G453" s="659" t="s">
        <v>19</v>
      </c>
      <c r="H453" s="658" t="s">
        <v>826</v>
      </c>
      <c r="I453" s="658" t="s">
        <v>780</v>
      </c>
      <c r="J453" s="660">
        <f>565.5+5717.8</f>
        <v>6283.3</v>
      </c>
      <c r="K453" s="660">
        <f>565.5+5717.8</f>
        <v>6283.3</v>
      </c>
      <c r="L453" s="660">
        <v>0</v>
      </c>
      <c r="M453" s="660">
        <v>0</v>
      </c>
      <c r="N453" s="660">
        <v>0</v>
      </c>
      <c r="O453" s="660">
        <v>0</v>
      </c>
      <c r="Q453" s="668"/>
    </row>
    <row r="454" spans="1:17" s="667" customFormat="1" ht="59.25" customHeight="1" x14ac:dyDescent="0.3">
      <c r="A454" s="653"/>
      <c r="B454" s="654"/>
      <c r="C454" s="665" t="s">
        <v>827</v>
      </c>
      <c r="D454" s="663"/>
      <c r="E454" s="666"/>
      <c r="F454" s="658" t="s">
        <v>109</v>
      </c>
      <c r="G454" s="659" t="s">
        <v>19</v>
      </c>
      <c r="H454" s="658" t="s">
        <v>828</v>
      </c>
      <c r="I454" s="658" t="s">
        <v>780</v>
      </c>
      <c r="J454" s="660">
        <f>55+21150</f>
        <v>21205</v>
      </c>
      <c r="K454" s="660">
        <f>55+21150</f>
        <v>21205</v>
      </c>
      <c r="L454" s="660">
        <v>26850</v>
      </c>
      <c r="M454" s="660">
        <v>0</v>
      </c>
      <c r="N454" s="660">
        <v>0</v>
      </c>
      <c r="O454" s="660">
        <v>0</v>
      </c>
      <c r="Q454" s="668"/>
    </row>
    <row r="455" spans="1:17" s="667" customFormat="1" ht="40.5" customHeight="1" x14ac:dyDescent="0.3">
      <c r="A455" s="653"/>
      <c r="B455" s="654"/>
      <c r="C455" s="748"/>
      <c r="D455" s="749"/>
      <c r="E455" s="750"/>
      <c r="F455" s="751" t="s">
        <v>109</v>
      </c>
      <c r="G455" s="746" t="s">
        <v>60</v>
      </c>
      <c r="H455" s="752"/>
      <c r="I455" s="752"/>
      <c r="J455" s="753">
        <f>SUM(J456:J475)</f>
        <v>1287742.8</v>
      </c>
      <c r="K455" s="753">
        <f t="shared" ref="K455:O455" si="112">SUM(K456:K475)</f>
        <v>1287742.8</v>
      </c>
      <c r="L455" s="753">
        <f t="shared" si="112"/>
        <v>1546256.3999999994</v>
      </c>
      <c r="M455" s="753">
        <f t="shared" si="112"/>
        <v>1574257.3000000003</v>
      </c>
      <c r="N455" s="753">
        <f t="shared" si="112"/>
        <v>1646009.5000000002</v>
      </c>
      <c r="O455" s="753">
        <f t="shared" si="112"/>
        <v>1739289.6000000001</v>
      </c>
    </row>
    <row r="456" spans="1:17" s="667" customFormat="1" ht="57" customHeight="1" x14ac:dyDescent="0.3">
      <c r="A456" s="653"/>
      <c r="B456" s="654"/>
      <c r="C456" s="669" t="s">
        <v>829</v>
      </c>
      <c r="D456" s="656" t="s">
        <v>99</v>
      </c>
      <c r="E456" s="657" t="s">
        <v>818</v>
      </c>
      <c r="F456" s="658" t="s">
        <v>109</v>
      </c>
      <c r="G456" s="659" t="s">
        <v>60</v>
      </c>
      <c r="H456" s="658" t="s">
        <v>830</v>
      </c>
      <c r="I456" s="658" t="s">
        <v>777</v>
      </c>
      <c r="J456" s="660">
        <v>167794.4</v>
      </c>
      <c r="K456" s="660">
        <v>167794.4</v>
      </c>
      <c r="L456" s="660">
        <v>197075.3</v>
      </c>
      <c r="M456" s="660">
        <v>174209.9</v>
      </c>
      <c r="N456" s="660">
        <v>190544.6</v>
      </c>
      <c r="O456" s="660">
        <v>249296.1</v>
      </c>
    </row>
    <row r="457" spans="1:17" s="667" customFormat="1" ht="58.5" customHeight="1" x14ac:dyDescent="0.3">
      <c r="A457" s="653"/>
      <c r="B457" s="654"/>
      <c r="C457" s="670" t="s">
        <v>821</v>
      </c>
      <c r="D457" s="671"/>
      <c r="E457" s="657"/>
      <c r="F457" s="658" t="s">
        <v>109</v>
      </c>
      <c r="G457" s="659" t="s">
        <v>60</v>
      </c>
      <c r="H457" s="658" t="s">
        <v>831</v>
      </c>
      <c r="I457" s="658" t="s">
        <v>777</v>
      </c>
      <c r="J457" s="660">
        <v>668681.80000000005</v>
      </c>
      <c r="K457" s="660">
        <v>668681.80000000005</v>
      </c>
      <c r="L457" s="660">
        <v>828805</v>
      </c>
      <c r="M457" s="660">
        <f>867906700/1000</f>
        <v>867906.7</v>
      </c>
      <c r="N457" s="660">
        <f>932095300/1000</f>
        <v>932095.3</v>
      </c>
      <c r="O457" s="660">
        <f>963384300/1000</f>
        <v>963384.3</v>
      </c>
    </row>
    <row r="458" spans="1:17" s="667" customFormat="1" ht="47.25" customHeight="1" x14ac:dyDescent="0.3">
      <c r="A458" s="653"/>
      <c r="B458" s="654"/>
      <c r="C458" s="672"/>
      <c r="D458" s="671"/>
      <c r="E458" s="657"/>
      <c r="F458" s="658" t="s">
        <v>109</v>
      </c>
      <c r="G458" s="659" t="s">
        <v>60</v>
      </c>
      <c r="H458" s="658" t="s">
        <v>831</v>
      </c>
      <c r="I458" s="658" t="s">
        <v>780</v>
      </c>
      <c r="J458" s="660">
        <v>105047.3</v>
      </c>
      <c r="K458" s="660">
        <v>105047.3</v>
      </c>
      <c r="L458" s="660">
        <v>157995.79999999999</v>
      </c>
      <c r="M458" s="660">
        <f>234810900/1000</f>
        <v>234810.9</v>
      </c>
      <c r="N458" s="660">
        <f>236035700/1000</f>
        <v>236035.7</v>
      </c>
      <c r="O458" s="660">
        <f>236626700/1000</f>
        <v>236626.7</v>
      </c>
    </row>
    <row r="459" spans="1:17" s="667" customFormat="1" ht="58.5" customHeight="1" x14ac:dyDescent="0.3">
      <c r="A459" s="653"/>
      <c r="B459" s="654"/>
      <c r="C459" s="673" t="s">
        <v>821</v>
      </c>
      <c r="D459" s="671"/>
      <c r="E459" s="657"/>
      <c r="F459" s="658" t="s">
        <v>109</v>
      </c>
      <c r="G459" s="659" t="s">
        <v>60</v>
      </c>
      <c r="H459" s="658" t="s">
        <v>832</v>
      </c>
      <c r="I459" s="658" t="s">
        <v>780</v>
      </c>
      <c r="J459" s="660">
        <v>1208.4000000000001</v>
      </c>
      <c r="K459" s="660">
        <v>1208.4000000000001</v>
      </c>
      <c r="L459" s="660">
        <v>1322.7</v>
      </c>
      <c r="M459" s="660">
        <v>1923.3</v>
      </c>
      <c r="N459" s="660">
        <v>1962.1</v>
      </c>
      <c r="O459" s="660">
        <v>1973.4</v>
      </c>
    </row>
    <row r="460" spans="1:17" s="667" customFormat="1" ht="67.5" customHeight="1" x14ac:dyDescent="0.3">
      <c r="A460" s="653"/>
      <c r="B460" s="654"/>
      <c r="C460" s="674" t="s">
        <v>833</v>
      </c>
      <c r="D460" s="671"/>
      <c r="E460" s="675" t="s">
        <v>834</v>
      </c>
      <c r="F460" s="658" t="s">
        <v>109</v>
      </c>
      <c r="G460" s="659" t="s">
        <v>60</v>
      </c>
      <c r="H460" s="658" t="s">
        <v>835</v>
      </c>
      <c r="I460" s="658" t="s">
        <v>780</v>
      </c>
      <c r="J460" s="660">
        <f>278.5+1710.3</f>
        <v>1988.8</v>
      </c>
      <c r="K460" s="660">
        <f>278.5+1710.3</f>
        <v>1988.8</v>
      </c>
      <c r="L460" s="660">
        <f>9411.4+57811.3</f>
        <v>67222.7</v>
      </c>
      <c r="M460" s="660">
        <v>7924</v>
      </c>
      <c r="N460" s="660">
        <v>0</v>
      </c>
      <c r="O460" s="660">
        <v>0</v>
      </c>
    </row>
    <row r="461" spans="1:17" s="667" customFormat="1" ht="45" customHeight="1" x14ac:dyDescent="0.3">
      <c r="A461" s="653"/>
      <c r="B461" s="654"/>
      <c r="C461" s="674" t="s">
        <v>836</v>
      </c>
      <c r="D461" s="671"/>
      <c r="E461" s="657" t="s">
        <v>837</v>
      </c>
      <c r="F461" s="658" t="s">
        <v>109</v>
      </c>
      <c r="G461" s="659" t="s">
        <v>60</v>
      </c>
      <c r="H461" s="658" t="s">
        <v>749</v>
      </c>
      <c r="I461" s="658" t="s">
        <v>838</v>
      </c>
      <c r="J461" s="660">
        <f>2809.9+53387.7</f>
        <v>56197.599999999999</v>
      </c>
      <c r="K461" s="660">
        <f>2809.9+53387.7</f>
        <v>56197.599999999999</v>
      </c>
      <c r="L461" s="660">
        <v>0</v>
      </c>
      <c r="M461" s="660">
        <v>0</v>
      </c>
      <c r="N461" s="660">
        <v>0</v>
      </c>
      <c r="O461" s="660">
        <v>0</v>
      </c>
    </row>
    <row r="462" spans="1:17" s="667" customFormat="1" ht="48" customHeight="1" x14ac:dyDescent="0.3">
      <c r="A462" s="653"/>
      <c r="B462" s="654"/>
      <c r="C462" s="676" t="s">
        <v>824</v>
      </c>
      <c r="D462" s="677"/>
      <c r="E462" s="657" t="s">
        <v>837</v>
      </c>
      <c r="F462" s="658" t="s">
        <v>109</v>
      </c>
      <c r="G462" s="659" t="s">
        <v>60</v>
      </c>
      <c r="H462" s="658" t="s">
        <v>839</v>
      </c>
      <c r="I462" s="658" t="s">
        <v>780</v>
      </c>
      <c r="J462" s="660">
        <f>6840+69160</f>
        <v>76000</v>
      </c>
      <c r="K462" s="660">
        <f>6840+69160</f>
        <v>76000</v>
      </c>
      <c r="L462" s="660">
        <v>0</v>
      </c>
      <c r="M462" s="660">
        <v>0</v>
      </c>
      <c r="N462" s="660">
        <v>0</v>
      </c>
      <c r="O462" s="660">
        <v>0</v>
      </c>
    </row>
    <row r="463" spans="1:17" s="667" customFormat="1" ht="48" customHeight="1" x14ac:dyDescent="0.3">
      <c r="A463" s="653"/>
      <c r="B463" s="654"/>
      <c r="C463" s="676" t="s">
        <v>840</v>
      </c>
      <c r="D463" s="677"/>
      <c r="E463" s="657" t="s">
        <v>837</v>
      </c>
      <c r="F463" s="658" t="s">
        <v>109</v>
      </c>
      <c r="G463" s="659" t="s">
        <v>60</v>
      </c>
      <c r="H463" s="658" t="s">
        <v>841</v>
      </c>
      <c r="I463" s="658" t="s">
        <v>780</v>
      </c>
      <c r="J463" s="660">
        <f>1814.8+11147.5</f>
        <v>12962.3</v>
      </c>
      <c r="K463" s="660">
        <f>1814.8+11147.5</f>
        <v>12962.3</v>
      </c>
      <c r="L463" s="660">
        <v>0</v>
      </c>
      <c r="M463" s="660">
        <v>0</v>
      </c>
      <c r="N463" s="660">
        <v>0</v>
      </c>
      <c r="O463" s="660">
        <v>0</v>
      </c>
    </row>
    <row r="464" spans="1:17" s="667" customFormat="1" ht="48" customHeight="1" x14ac:dyDescent="0.3">
      <c r="A464" s="653"/>
      <c r="B464" s="654"/>
      <c r="C464" s="676" t="s">
        <v>842</v>
      </c>
      <c r="D464" s="677"/>
      <c r="E464" s="657" t="s">
        <v>843</v>
      </c>
      <c r="F464" s="658" t="s">
        <v>109</v>
      </c>
      <c r="G464" s="659" t="s">
        <v>60</v>
      </c>
      <c r="H464" s="658" t="s">
        <v>844</v>
      </c>
      <c r="I464" s="658" t="s">
        <v>780</v>
      </c>
      <c r="J464" s="660">
        <v>0</v>
      </c>
      <c r="K464" s="660">
        <v>0</v>
      </c>
      <c r="L464" s="660">
        <f>4960.5+8093.4</f>
        <v>13053.9</v>
      </c>
      <c r="M464" s="660">
        <v>0</v>
      </c>
      <c r="N464" s="660">
        <v>0</v>
      </c>
      <c r="O464" s="660">
        <v>0</v>
      </c>
    </row>
    <row r="465" spans="1:15" s="667" customFormat="1" ht="48" customHeight="1" x14ac:dyDescent="0.3">
      <c r="A465" s="653"/>
      <c r="B465" s="654"/>
      <c r="C465" s="676" t="s">
        <v>845</v>
      </c>
      <c r="D465" s="677"/>
      <c r="E465" s="657" t="s">
        <v>818</v>
      </c>
      <c r="F465" s="658" t="s">
        <v>109</v>
      </c>
      <c r="G465" s="659" t="s">
        <v>60</v>
      </c>
      <c r="H465" s="658" t="s">
        <v>846</v>
      </c>
      <c r="I465" s="658" t="s">
        <v>780</v>
      </c>
      <c r="J465" s="660">
        <f>5234+3027.7+8539.7</f>
        <v>16801.400000000001</v>
      </c>
      <c r="K465" s="660">
        <f>5234+3027.7+8539.7</f>
        <v>16801.400000000001</v>
      </c>
      <c r="L465" s="660">
        <f>3359.5+6479.7+10572.1</f>
        <v>20411.300000000003</v>
      </c>
      <c r="M465" s="660">
        <v>20448.400000000001</v>
      </c>
      <c r="N465" s="660">
        <v>19469.599999999999</v>
      </c>
      <c r="O465" s="660">
        <v>20168.8</v>
      </c>
    </row>
    <row r="466" spans="1:15" s="667" customFormat="1" ht="48" customHeight="1" x14ac:dyDescent="0.3">
      <c r="A466" s="653"/>
      <c r="B466" s="654"/>
      <c r="C466" s="678" t="s">
        <v>821</v>
      </c>
      <c r="D466" s="677"/>
      <c r="E466" s="657"/>
      <c r="F466" s="658" t="s">
        <v>109</v>
      </c>
      <c r="G466" s="659" t="s">
        <v>60</v>
      </c>
      <c r="H466" s="679" t="s">
        <v>847</v>
      </c>
      <c r="I466" s="658" t="s">
        <v>780</v>
      </c>
      <c r="J466" s="660">
        <v>50231.199999999997</v>
      </c>
      <c r="K466" s="660">
        <v>50231.199999999997</v>
      </c>
      <c r="L466" s="660">
        <v>0</v>
      </c>
      <c r="M466" s="660">
        <v>0</v>
      </c>
      <c r="N466" s="660">
        <v>0</v>
      </c>
      <c r="O466" s="660">
        <v>0</v>
      </c>
    </row>
    <row r="467" spans="1:15" s="667" customFormat="1" ht="48" customHeight="1" x14ac:dyDescent="0.3">
      <c r="A467" s="653"/>
      <c r="B467" s="654"/>
      <c r="C467" s="672"/>
      <c r="D467" s="677"/>
      <c r="E467" s="657"/>
      <c r="F467" s="658" t="s">
        <v>109</v>
      </c>
      <c r="G467" s="659" t="s">
        <v>60</v>
      </c>
      <c r="H467" s="679" t="s">
        <v>848</v>
      </c>
      <c r="I467" s="658" t="s">
        <v>780</v>
      </c>
      <c r="J467" s="660">
        <v>0</v>
      </c>
      <c r="K467" s="660">
        <v>0</v>
      </c>
      <c r="L467" s="660">
        <v>94668.4</v>
      </c>
      <c r="M467" s="660">
        <v>100118.6</v>
      </c>
      <c r="N467" s="660">
        <v>99967.6</v>
      </c>
      <c r="O467" s="660">
        <v>99561.3</v>
      </c>
    </row>
    <row r="468" spans="1:15" s="667" customFormat="1" ht="48" customHeight="1" x14ac:dyDescent="0.3">
      <c r="A468" s="653"/>
      <c r="B468" s="654"/>
      <c r="C468" s="673" t="s">
        <v>821</v>
      </c>
      <c r="D468" s="677"/>
      <c r="E468" s="657"/>
      <c r="F468" s="658" t="s">
        <v>109</v>
      </c>
      <c r="G468" s="659" t="s">
        <v>60</v>
      </c>
      <c r="H468" s="679" t="s">
        <v>849</v>
      </c>
      <c r="I468" s="658" t="s">
        <v>780</v>
      </c>
      <c r="J468" s="660">
        <v>10415.6</v>
      </c>
      <c r="K468" s="660">
        <v>10415.6</v>
      </c>
      <c r="L468" s="660">
        <v>10914.9</v>
      </c>
      <c r="M468" s="660">
        <v>4964.1000000000004</v>
      </c>
      <c r="N468" s="660">
        <v>5162.1000000000004</v>
      </c>
      <c r="O468" s="660">
        <v>5368.7</v>
      </c>
    </row>
    <row r="469" spans="1:15" s="667" customFormat="1" ht="48" customHeight="1" x14ac:dyDescent="0.3">
      <c r="A469" s="653"/>
      <c r="B469" s="654"/>
      <c r="C469" s="673" t="s">
        <v>821</v>
      </c>
      <c r="D469" s="677"/>
      <c r="E469" s="657"/>
      <c r="F469" s="658" t="s">
        <v>109</v>
      </c>
      <c r="G469" s="659" t="s">
        <v>60</v>
      </c>
      <c r="H469" s="679" t="s">
        <v>850</v>
      </c>
      <c r="I469" s="658" t="s">
        <v>780</v>
      </c>
      <c r="J469" s="660">
        <v>2562</v>
      </c>
      <c r="K469" s="660">
        <v>2562</v>
      </c>
      <c r="L469" s="660">
        <v>19412.7</v>
      </c>
      <c r="M469" s="660">
        <v>44835</v>
      </c>
      <c r="N469" s="660">
        <v>46618</v>
      </c>
      <c r="O469" s="660">
        <v>48474</v>
      </c>
    </row>
    <row r="470" spans="1:15" s="667" customFormat="1" ht="48" customHeight="1" x14ac:dyDescent="0.3">
      <c r="A470" s="653"/>
      <c r="B470" s="654"/>
      <c r="C470" s="676" t="s">
        <v>851</v>
      </c>
      <c r="D470" s="677"/>
      <c r="E470" s="657" t="s">
        <v>818</v>
      </c>
      <c r="F470" s="658" t="s">
        <v>109</v>
      </c>
      <c r="G470" s="659" t="s">
        <v>60</v>
      </c>
      <c r="H470" s="679" t="s">
        <v>852</v>
      </c>
      <c r="I470" s="658" t="s">
        <v>780</v>
      </c>
      <c r="J470" s="660">
        <f>11723.9+4328.5+18093+64147.5</f>
        <v>98292.9</v>
      </c>
      <c r="K470" s="660">
        <f>11723.9+4328.5+18093+64147.5</f>
        <v>98292.9</v>
      </c>
      <c r="L470" s="660">
        <f>12504.1+4624.9+87872.9</f>
        <v>105001.9</v>
      </c>
      <c r="M470" s="660">
        <v>104036.5</v>
      </c>
      <c r="N470" s="660">
        <v>100808.2</v>
      </c>
      <c r="O470" s="660">
        <v>100933.3</v>
      </c>
    </row>
    <row r="471" spans="1:15" s="667" customFormat="1" ht="48" customHeight="1" x14ac:dyDescent="0.3">
      <c r="A471" s="653"/>
      <c r="B471" s="654"/>
      <c r="C471" s="676" t="s">
        <v>853</v>
      </c>
      <c r="D471" s="677"/>
      <c r="E471" s="657" t="s">
        <v>825</v>
      </c>
      <c r="F471" s="658" t="s">
        <v>109</v>
      </c>
      <c r="G471" s="680" t="s">
        <v>60</v>
      </c>
      <c r="H471" s="681" t="s">
        <v>854</v>
      </c>
      <c r="I471" s="658" t="s">
        <v>780</v>
      </c>
      <c r="J471" s="660">
        <v>368.9</v>
      </c>
      <c r="K471" s="660">
        <v>368.9</v>
      </c>
      <c r="L471" s="660">
        <v>412.5</v>
      </c>
      <c r="M471" s="660">
        <v>0</v>
      </c>
      <c r="N471" s="660">
        <v>0</v>
      </c>
      <c r="O471" s="660">
        <v>0</v>
      </c>
    </row>
    <row r="472" spans="1:15" s="667" customFormat="1" ht="48" customHeight="1" x14ac:dyDescent="0.3">
      <c r="A472" s="653"/>
      <c r="B472" s="654"/>
      <c r="C472" s="655" t="s">
        <v>821</v>
      </c>
      <c r="D472" s="677"/>
      <c r="E472" s="657"/>
      <c r="F472" s="658" t="s">
        <v>109</v>
      </c>
      <c r="G472" s="680" t="s">
        <v>60</v>
      </c>
      <c r="H472" s="682" t="s">
        <v>855</v>
      </c>
      <c r="I472" s="658" t="s">
        <v>780</v>
      </c>
      <c r="J472" s="660">
        <v>3954.4</v>
      </c>
      <c r="K472" s="660">
        <v>3954.4</v>
      </c>
      <c r="L472" s="660">
        <v>4122.3999999999996</v>
      </c>
      <c r="M472" s="660">
        <v>4505.6000000000004</v>
      </c>
      <c r="N472" s="660">
        <v>4641.8999999999996</v>
      </c>
      <c r="O472" s="660">
        <v>4641.2</v>
      </c>
    </row>
    <row r="473" spans="1:15" s="667" customFormat="1" ht="48" customHeight="1" x14ac:dyDescent="0.3">
      <c r="A473" s="653"/>
      <c r="B473" s="654"/>
      <c r="C473" s="662"/>
      <c r="D473" s="677"/>
      <c r="E473" s="657"/>
      <c r="F473" s="658" t="s">
        <v>109</v>
      </c>
      <c r="G473" s="680" t="s">
        <v>60</v>
      </c>
      <c r="H473" s="682" t="s">
        <v>855</v>
      </c>
      <c r="I473" s="658" t="s">
        <v>31</v>
      </c>
      <c r="J473" s="660">
        <v>15.5</v>
      </c>
      <c r="K473" s="660">
        <v>15.5</v>
      </c>
      <c r="L473" s="660">
        <v>37.9</v>
      </c>
      <c r="M473" s="660">
        <v>0</v>
      </c>
      <c r="N473" s="660">
        <v>0</v>
      </c>
      <c r="O473" s="660">
        <v>0</v>
      </c>
    </row>
    <row r="474" spans="1:15" s="667" customFormat="1" ht="48" customHeight="1" x14ac:dyDescent="0.3">
      <c r="A474" s="653"/>
      <c r="B474" s="654"/>
      <c r="C474" s="683" t="s">
        <v>821</v>
      </c>
      <c r="D474" s="677"/>
      <c r="E474" s="657"/>
      <c r="F474" s="658" t="s">
        <v>109</v>
      </c>
      <c r="G474" s="680" t="s">
        <v>60</v>
      </c>
      <c r="H474" s="682" t="s">
        <v>856</v>
      </c>
      <c r="I474" s="658" t="s">
        <v>780</v>
      </c>
      <c r="J474" s="660">
        <v>8670.2999999999993</v>
      </c>
      <c r="K474" s="660">
        <v>8670.2999999999993</v>
      </c>
      <c r="L474" s="660">
        <v>8549</v>
      </c>
      <c r="M474" s="660">
        <v>8574.2999999999993</v>
      </c>
      <c r="N474" s="660">
        <v>8704.4</v>
      </c>
      <c r="O474" s="660">
        <v>8861.7999999999993</v>
      </c>
    </row>
    <row r="475" spans="1:15" s="667" customFormat="1" ht="48" customHeight="1" x14ac:dyDescent="0.3">
      <c r="A475" s="653"/>
      <c r="B475" s="654"/>
      <c r="C475" s="676" t="s">
        <v>821</v>
      </c>
      <c r="D475" s="677"/>
      <c r="E475" s="657"/>
      <c r="F475" s="658" t="s">
        <v>109</v>
      </c>
      <c r="G475" s="680" t="s">
        <v>60</v>
      </c>
      <c r="H475" s="682" t="s">
        <v>828</v>
      </c>
      <c r="I475" s="658" t="s">
        <v>780</v>
      </c>
      <c r="J475" s="660">
        <v>6550</v>
      </c>
      <c r="K475" s="660">
        <v>6550</v>
      </c>
      <c r="L475" s="660">
        <v>17250</v>
      </c>
      <c r="M475" s="660">
        <v>0</v>
      </c>
      <c r="N475" s="660">
        <v>0</v>
      </c>
      <c r="O475" s="660">
        <v>0</v>
      </c>
    </row>
    <row r="476" spans="1:15" s="667" customFormat="1" ht="24.75" customHeight="1" x14ac:dyDescent="0.3">
      <c r="A476" s="653"/>
      <c r="B476" s="654"/>
      <c r="C476" s="754"/>
      <c r="D476" s="755"/>
      <c r="E476" s="755"/>
      <c r="F476" s="751" t="s">
        <v>109</v>
      </c>
      <c r="G476" s="746" t="s">
        <v>20</v>
      </c>
      <c r="H476" s="750"/>
      <c r="I476" s="752"/>
      <c r="J476" s="753">
        <f t="shared" ref="J476:K476" si="113">J477+J482+J494+J491+J492+J493</f>
        <v>91744.499999999985</v>
      </c>
      <c r="K476" s="753">
        <f t="shared" si="113"/>
        <v>91744.499999999985</v>
      </c>
      <c r="L476" s="753">
        <f>L477+L482+L494+L491+L492+L493</f>
        <v>70096.7</v>
      </c>
      <c r="M476" s="753">
        <f t="shared" ref="M476:O476" si="114">M477+M482+M494+M491+M492+M493</f>
        <v>45974.1</v>
      </c>
      <c r="N476" s="753">
        <f t="shared" si="114"/>
        <v>48155.8</v>
      </c>
      <c r="O476" s="753">
        <f t="shared" si="114"/>
        <v>49178.8</v>
      </c>
    </row>
    <row r="477" spans="1:15" s="667" customFormat="1" ht="24.75" customHeight="1" x14ac:dyDescent="0.3">
      <c r="A477" s="653"/>
      <c r="B477" s="654"/>
      <c r="C477" s="754"/>
      <c r="D477" s="755"/>
      <c r="E477" s="756"/>
      <c r="F477" s="752" t="s">
        <v>109</v>
      </c>
      <c r="G477" s="757" t="s">
        <v>20</v>
      </c>
      <c r="H477" s="752" t="s">
        <v>857</v>
      </c>
      <c r="I477" s="752"/>
      <c r="J477" s="753">
        <f t="shared" ref="J477:O477" si="115">SUM(J478:J481)</f>
        <v>88838.599999999991</v>
      </c>
      <c r="K477" s="753">
        <f t="shared" si="115"/>
        <v>88838.599999999991</v>
      </c>
      <c r="L477" s="753">
        <f t="shared" si="115"/>
        <v>48418.2</v>
      </c>
      <c r="M477" s="753">
        <f t="shared" si="115"/>
        <v>37943.1</v>
      </c>
      <c r="N477" s="753">
        <f t="shared" si="115"/>
        <v>49090.5</v>
      </c>
      <c r="O477" s="753">
        <f t="shared" si="115"/>
        <v>50151.8</v>
      </c>
    </row>
    <row r="478" spans="1:15" s="667" customFormat="1" ht="58.5" customHeight="1" x14ac:dyDescent="0.3">
      <c r="A478" s="653"/>
      <c r="B478" s="654"/>
      <c r="C478" s="685" t="s">
        <v>858</v>
      </c>
      <c r="D478" s="686"/>
      <c r="E478" s="657" t="s">
        <v>818</v>
      </c>
      <c r="F478" s="658" t="s">
        <v>109</v>
      </c>
      <c r="G478" s="659" t="s">
        <v>20</v>
      </c>
      <c r="H478" s="658" t="s">
        <v>857</v>
      </c>
      <c r="I478" s="658" t="s">
        <v>777</v>
      </c>
      <c r="J478" s="660">
        <v>7352.2</v>
      </c>
      <c r="K478" s="660">
        <v>7352.2</v>
      </c>
      <c r="L478" s="660">
        <v>0</v>
      </c>
      <c r="M478" s="660">
        <v>0</v>
      </c>
      <c r="N478" s="660">
        <v>0</v>
      </c>
      <c r="O478" s="660">
        <v>0</v>
      </c>
    </row>
    <row r="479" spans="1:15" s="667" customFormat="1" ht="58.5" customHeight="1" x14ac:dyDescent="0.3">
      <c r="A479" s="653"/>
      <c r="B479" s="654"/>
      <c r="C479" s="685" t="s">
        <v>859</v>
      </c>
      <c r="D479" s="686"/>
      <c r="E479" s="657"/>
      <c r="F479" s="658" t="s">
        <v>109</v>
      </c>
      <c r="G479" s="659" t="s">
        <v>20</v>
      </c>
      <c r="H479" s="658" t="s">
        <v>857</v>
      </c>
      <c r="I479" s="658" t="s">
        <v>860</v>
      </c>
      <c r="J479" s="660">
        <v>54104.2</v>
      </c>
      <c r="K479" s="660">
        <v>54104.2</v>
      </c>
      <c r="L479" s="660">
        <v>48418.2</v>
      </c>
      <c r="M479" s="660">
        <v>37943.1</v>
      </c>
      <c r="N479" s="660">
        <v>49090.5</v>
      </c>
      <c r="O479" s="660">
        <v>50151.8</v>
      </c>
    </row>
    <row r="480" spans="1:15" s="667" customFormat="1" ht="58.5" customHeight="1" x14ac:dyDescent="0.3">
      <c r="A480" s="653"/>
      <c r="B480" s="654"/>
      <c r="C480" s="685" t="s">
        <v>859</v>
      </c>
      <c r="D480" s="686"/>
      <c r="E480" s="657"/>
      <c r="F480" s="658" t="s">
        <v>109</v>
      </c>
      <c r="G480" s="659" t="s">
        <v>20</v>
      </c>
      <c r="H480" s="658" t="s">
        <v>857</v>
      </c>
      <c r="I480" s="658" t="s">
        <v>820</v>
      </c>
      <c r="J480" s="660">
        <v>2955.1</v>
      </c>
      <c r="K480" s="660">
        <v>2955.1</v>
      </c>
      <c r="L480" s="660">
        <v>0</v>
      </c>
      <c r="M480" s="660">
        <v>0</v>
      </c>
      <c r="N480" s="660">
        <v>0</v>
      </c>
      <c r="O480" s="660">
        <v>0</v>
      </c>
    </row>
    <row r="481" spans="1:15" s="667" customFormat="1" ht="58.5" customHeight="1" x14ac:dyDescent="0.3">
      <c r="A481" s="653"/>
      <c r="B481" s="654"/>
      <c r="C481" s="685" t="s">
        <v>859</v>
      </c>
      <c r="D481" s="686"/>
      <c r="E481" s="657"/>
      <c r="F481" s="658" t="s">
        <v>109</v>
      </c>
      <c r="G481" s="659" t="s">
        <v>20</v>
      </c>
      <c r="H481" s="658" t="s">
        <v>857</v>
      </c>
      <c r="I481" s="658" t="s">
        <v>861</v>
      </c>
      <c r="J481" s="660">
        <v>24427.1</v>
      </c>
      <c r="K481" s="660">
        <v>24427.1</v>
      </c>
      <c r="L481" s="660">
        <v>0</v>
      </c>
      <c r="M481" s="660">
        <v>0</v>
      </c>
      <c r="N481" s="660">
        <v>0</v>
      </c>
      <c r="O481" s="660">
        <v>0</v>
      </c>
    </row>
    <row r="482" spans="1:15" s="667" customFormat="1" ht="58.5" customHeight="1" x14ac:dyDescent="0.3">
      <c r="A482" s="653"/>
      <c r="B482" s="654"/>
      <c r="C482" s="685" t="s">
        <v>862</v>
      </c>
      <c r="D482" s="686"/>
      <c r="E482" s="657"/>
      <c r="F482" s="658" t="s">
        <v>109</v>
      </c>
      <c r="G482" s="659" t="s">
        <v>20</v>
      </c>
      <c r="H482" s="658" t="s">
        <v>863</v>
      </c>
      <c r="I482" s="658"/>
      <c r="J482" s="660">
        <f>SUM(J483:J490)</f>
        <v>1929.4</v>
      </c>
      <c r="K482" s="660">
        <f t="shared" ref="K482:L482" si="116">SUM(K483:K490)</f>
        <v>1929.4</v>
      </c>
      <c r="L482" s="660">
        <f t="shared" si="116"/>
        <v>2543.4</v>
      </c>
      <c r="M482" s="660">
        <f>SUM(M483:M490)</f>
        <v>8928</v>
      </c>
      <c r="N482" s="660">
        <f t="shared" ref="N482:O482" si="117">SUM(N483:N490)</f>
        <v>0</v>
      </c>
      <c r="O482" s="660">
        <f t="shared" si="117"/>
        <v>0</v>
      </c>
    </row>
    <row r="483" spans="1:15" s="667" customFormat="1" ht="58.5" customHeight="1" x14ac:dyDescent="0.3">
      <c r="A483" s="653"/>
      <c r="B483" s="654"/>
      <c r="C483" s="685" t="s">
        <v>862</v>
      </c>
      <c r="D483" s="686"/>
      <c r="E483" s="657"/>
      <c r="F483" s="658" t="s">
        <v>109</v>
      </c>
      <c r="G483" s="659" t="s">
        <v>20</v>
      </c>
      <c r="H483" s="658" t="s">
        <v>863</v>
      </c>
      <c r="I483" s="658" t="s">
        <v>777</v>
      </c>
      <c r="J483" s="660">
        <v>184.3</v>
      </c>
      <c r="K483" s="660">
        <v>184.3</v>
      </c>
      <c r="L483" s="660">
        <v>0</v>
      </c>
      <c r="M483" s="660">
        <v>0</v>
      </c>
      <c r="N483" s="660">
        <v>0</v>
      </c>
      <c r="O483" s="660">
        <v>0</v>
      </c>
    </row>
    <row r="484" spans="1:15" s="667" customFormat="1" ht="58.5" customHeight="1" x14ac:dyDescent="0.3">
      <c r="A484" s="653"/>
      <c r="B484" s="654"/>
      <c r="C484" s="685" t="s">
        <v>862</v>
      </c>
      <c r="D484" s="686"/>
      <c r="E484" s="657"/>
      <c r="F484" s="658" t="s">
        <v>109</v>
      </c>
      <c r="G484" s="659" t="s">
        <v>20</v>
      </c>
      <c r="H484" s="658" t="s">
        <v>863</v>
      </c>
      <c r="I484" s="658" t="s">
        <v>860</v>
      </c>
      <c r="J484" s="660">
        <v>1309.2</v>
      </c>
      <c r="K484" s="660">
        <v>1309.2</v>
      </c>
      <c r="L484" s="660">
        <v>1864.8</v>
      </c>
      <c r="M484" s="660">
        <v>5970.8</v>
      </c>
      <c r="N484" s="660">
        <v>0</v>
      </c>
      <c r="O484" s="660">
        <v>0</v>
      </c>
    </row>
    <row r="485" spans="1:15" s="667" customFormat="1" ht="58.5" customHeight="1" x14ac:dyDescent="0.3">
      <c r="A485" s="653"/>
      <c r="B485" s="654"/>
      <c r="C485" s="685" t="s">
        <v>862</v>
      </c>
      <c r="D485" s="686"/>
      <c r="E485" s="657"/>
      <c r="F485" s="658" t="s">
        <v>109</v>
      </c>
      <c r="G485" s="659" t="s">
        <v>20</v>
      </c>
      <c r="H485" s="658" t="s">
        <v>863</v>
      </c>
      <c r="I485" s="658" t="s">
        <v>864</v>
      </c>
      <c r="J485" s="660">
        <v>0</v>
      </c>
      <c r="K485" s="660">
        <v>0</v>
      </c>
      <c r="L485" s="660">
        <v>0</v>
      </c>
      <c r="M485" s="660">
        <v>200</v>
      </c>
      <c r="N485" s="660">
        <v>0</v>
      </c>
      <c r="O485" s="660">
        <v>0</v>
      </c>
    </row>
    <row r="486" spans="1:15" s="667" customFormat="1" ht="58.5" customHeight="1" x14ac:dyDescent="0.3">
      <c r="A486" s="653"/>
      <c r="B486" s="654"/>
      <c r="C486" s="685" t="s">
        <v>862</v>
      </c>
      <c r="D486" s="686"/>
      <c r="E486" s="657"/>
      <c r="F486" s="658" t="s">
        <v>109</v>
      </c>
      <c r="G486" s="659" t="s">
        <v>20</v>
      </c>
      <c r="H486" s="658" t="s">
        <v>863</v>
      </c>
      <c r="I486" s="658" t="s">
        <v>820</v>
      </c>
      <c r="J486" s="660">
        <v>52.2</v>
      </c>
      <c r="K486" s="660">
        <v>52.2</v>
      </c>
      <c r="L486" s="660">
        <v>0</v>
      </c>
      <c r="M486" s="660">
        <v>0</v>
      </c>
      <c r="N486" s="660">
        <v>0</v>
      </c>
      <c r="O486" s="660">
        <v>0</v>
      </c>
    </row>
    <row r="487" spans="1:15" s="667" customFormat="1" ht="58.5" customHeight="1" x14ac:dyDescent="0.3">
      <c r="A487" s="653"/>
      <c r="B487" s="654"/>
      <c r="C487" s="685" t="s">
        <v>862</v>
      </c>
      <c r="D487" s="686"/>
      <c r="E487" s="657"/>
      <c r="F487" s="658" t="s">
        <v>109</v>
      </c>
      <c r="G487" s="659" t="s">
        <v>20</v>
      </c>
      <c r="H487" s="658" t="s">
        <v>863</v>
      </c>
      <c r="I487" s="658" t="s">
        <v>861</v>
      </c>
      <c r="J487" s="660">
        <v>383.7</v>
      </c>
      <c r="K487" s="660">
        <v>383.7</v>
      </c>
      <c r="L487" s="660">
        <v>678.6</v>
      </c>
      <c r="M487" s="660">
        <v>2158.5</v>
      </c>
      <c r="N487" s="660">
        <v>0</v>
      </c>
      <c r="O487" s="660">
        <v>0</v>
      </c>
    </row>
    <row r="488" spans="1:15" s="667" customFormat="1" ht="58.5" customHeight="1" x14ac:dyDescent="0.3">
      <c r="A488" s="653"/>
      <c r="B488" s="654"/>
      <c r="C488" s="685" t="s">
        <v>862</v>
      </c>
      <c r="D488" s="686"/>
      <c r="E488" s="657"/>
      <c r="F488" s="658" t="s">
        <v>109</v>
      </c>
      <c r="G488" s="659" t="s">
        <v>20</v>
      </c>
      <c r="H488" s="658" t="s">
        <v>863</v>
      </c>
      <c r="I488" s="658" t="s">
        <v>865</v>
      </c>
      <c r="J488" s="660">
        <v>0</v>
      </c>
      <c r="K488" s="660">
        <v>0</v>
      </c>
      <c r="L488" s="660">
        <v>0</v>
      </c>
      <c r="M488" s="660">
        <v>200</v>
      </c>
      <c r="N488" s="660">
        <v>0</v>
      </c>
      <c r="O488" s="660">
        <v>0</v>
      </c>
    </row>
    <row r="489" spans="1:15" s="667" customFormat="1" ht="58.5" customHeight="1" x14ac:dyDescent="0.3">
      <c r="A489" s="653"/>
      <c r="B489" s="654"/>
      <c r="C489" s="685" t="s">
        <v>862</v>
      </c>
      <c r="D489" s="686"/>
      <c r="E489" s="657"/>
      <c r="F489" s="658" t="s">
        <v>109</v>
      </c>
      <c r="G489" s="659" t="s">
        <v>20</v>
      </c>
      <c r="H489" s="658" t="s">
        <v>863</v>
      </c>
      <c r="I489" s="658" t="s">
        <v>866</v>
      </c>
      <c r="J489" s="660">
        <v>0</v>
      </c>
      <c r="K489" s="660">
        <v>0</v>
      </c>
      <c r="L489" s="660">
        <v>0</v>
      </c>
      <c r="M489" s="660">
        <v>398.7</v>
      </c>
      <c r="N489" s="660">
        <v>0</v>
      </c>
      <c r="O489" s="660">
        <v>0</v>
      </c>
    </row>
    <row r="490" spans="1:15" s="667" customFormat="1" ht="58.5" customHeight="1" x14ac:dyDescent="0.3">
      <c r="A490" s="653"/>
      <c r="B490" s="687"/>
      <c r="C490" s="685" t="s">
        <v>862</v>
      </c>
      <c r="D490" s="686"/>
      <c r="E490" s="657"/>
      <c r="F490" s="658" t="s">
        <v>109</v>
      </c>
      <c r="G490" s="659" t="s">
        <v>20</v>
      </c>
      <c r="H490" s="658" t="s">
        <v>863</v>
      </c>
      <c r="I490" s="658" t="s">
        <v>867</v>
      </c>
      <c r="J490" s="660">
        <v>0</v>
      </c>
      <c r="K490" s="660">
        <v>0</v>
      </c>
      <c r="L490" s="660">
        <v>0</v>
      </c>
      <c r="M490" s="660">
        <v>0</v>
      </c>
      <c r="N490" s="660">
        <v>0</v>
      </c>
      <c r="O490" s="660">
        <v>0</v>
      </c>
    </row>
    <row r="491" spans="1:15" s="667" customFormat="1" ht="58.5" customHeight="1" x14ac:dyDescent="0.3">
      <c r="A491" s="653"/>
      <c r="B491" s="688"/>
      <c r="C491" s="758"/>
      <c r="D491" s="759"/>
      <c r="E491" s="760"/>
      <c r="F491" s="752" t="s">
        <v>109</v>
      </c>
      <c r="G491" s="757" t="s">
        <v>20</v>
      </c>
      <c r="H491" s="752" t="s">
        <v>868</v>
      </c>
      <c r="I491" s="752" t="s">
        <v>869</v>
      </c>
      <c r="J491" s="761">
        <v>93.7</v>
      </c>
      <c r="K491" s="761">
        <v>93.7</v>
      </c>
      <c r="L491" s="761">
        <v>0</v>
      </c>
      <c r="M491" s="761">
        <v>0</v>
      </c>
      <c r="N491" s="761">
        <v>0</v>
      </c>
      <c r="O491" s="761">
        <v>0</v>
      </c>
    </row>
    <row r="492" spans="1:15" s="667" customFormat="1" ht="58.5" customHeight="1" x14ac:dyDescent="0.3">
      <c r="A492" s="653"/>
      <c r="B492" s="688"/>
      <c r="C492" s="762" t="s">
        <v>821</v>
      </c>
      <c r="D492" s="759"/>
      <c r="E492" s="760"/>
      <c r="F492" s="752" t="s">
        <v>109</v>
      </c>
      <c r="G492" s="757" t="s">
        <v>20</v>
      </c>
      <c r="H492" s="752" t="s">
        <v>828</v>
      </c>
      <c r="I492" s="752" t="s">
        <v>780</v>
      </c>
      <c r="J492" s="761">
        <v>0</v>
      </c>
      <c r="K492" s="761">
        <v>0</v>
      </c>
      <c r="L492" s="761">
        <v>6000</v>
      </c>
      <c r="M492" s="761">
        <v>0</v>
      </c>
      <c r="N492" s="761">
        <v>0</v>
      </c>
      <c r="O492" s="761">
        <v>0</v>
      </c>
    </row>
    <row r="493" spans="1:15" s="667" customFormat="1" ht="58.5" customHeight="1" x14ac:dyDescent="0.3">
      <c r="A493" s="653"/>
      <c r="B493" s="688"/>
      <c r="C493" s="763"/>
      <c r="D493" s="759"/>
      <c r="E493" s="760"/>
      <c r="F493" s="752" t="s">
        <v>109</v>
      </c>
      <c r="G493" s="757" t="s">
        <v>20</v>
      </c>
      <c r="H493" s="752" t="s">
        <v>828</v>
      </c>
      <c r="I493" s="752" t="s">
        <v>869</v>
      </c>
      <c r="J493" s="761">
        <v>0</v>
      </c>
      <c r="K493" s="761">
        <v>0</v>
      </c>
      <c r="L493" s="761">
        <v>12300</v>
      </c>
      <c r="M493" s="761">
        <v>0</v>
      </c>
      <c r="N493" s="761">
        <v>0</v>
      </c>
      <c r="O493" s="761">
        <v>0</v>
      </c>
    </row>
    <row r="494" spans="1:15" s="667" customFormat="1" ht="59.25" customHeight="1" x14ac:dyDescent="0.3">
      <c r="A494" s="653"/>
      <c r="B494" s="652" t="s">
        <v>870</v>
      </c>
      <c r="C494" s="764"/>
      <c r="D494" s="765"/>
      <c r="E494" s="766"/>
      <c r="F494" s="746" t="s">
        <v>109</v>
      </c>
      <c r="G494" s="746" t="s">
        <v>20</v>
      </c>
      <c r="H494" s="752" t="s">
        <v>871</v>
      </c>
      <c r="I494" s="746"/>
      <c r="J494" s="753">
        <f>J495+J496</f>
        <v>882.8</v>
      </c>
      <c r="K494" s="753">
        <f t="shared" ref="K494:O494" si="118">K495+K496</f>
        <v>882.8</v>
      </c>
      <c r="L494" s="753">
        <f t="shared" si="118"/>
        <v>835.09999999999991</v>
      </c>
      <c r="M494" s="753">
        <f t="shared" si="118"/>
        <v>-897</v>
      </c>
      <c r="N494" s="753">
        <f t="shared" si="118"/>
        <v>-934.7</v>
      </c>
      <c r="O494" s="753">
        <f t="shared" si="118"/>
        <v>-973</v>
      </c>
    </row>
    <row r="495" spans="1:15" s="667" customFormat="1" ht="59.25" customHeight="1" x14ac:dyDescent="0.3">
      <c r="A495" s="653"/>
      <c r="B495" s="654"/>
      <c r="C495" s="762" t="s">
        <v>872</v>
      </c>
      <c r="D495" s="767"/>
      <c r="E495" s="768" t="s">
        <v>873</v>
      </c>
      <c r="F495" s="752" t="s">
        <v>109</v>
      </c>
      <c r="G495" s="757" t="s">
        <v>20</v>
      </c>
      <c r="H495" s="752" t="s">
        <v>871</v>
      </c>
      <c r="I495" s="752" t="s">
        <v>874</v>
      </c>
      <c r="J495" s="761">
        <v>543.6</v>
      </c>
      <c r="K495" s="761">
        <v>543.6</v>
      </c>
      <c r="L495" s="761">
        <v>428.4</v>
      </c>
      <c r="M495" s="761">
        <v>-490</v>
      </c>
      <c r="N495" s="761">
        <v>-514.1</v>
      </c>
      <c r="O495" s="761">
        <v>-533.29999999999995</v>
      </c>
    </row>
    <row r="496" spans="1:15" s="667" customFormat="1" ht="59.25" customHeight="1" x14ac:dyDescent="0.3">
      <c r="A496" s="653"/>
      <c r="B496" s="687"/>
      <c r="C496" s="763"/>
      <c r="D496" s="769"/>
      <c r="E496" s="770"/>
      <c r="F496" s="771" t="s">
        <v>109</v>
      </c>
      <c r="G496" s="772" t="s">
        <v>20</v>
      </c>
      <c r="H496" s="752" t="s">
        <v>871</v>
      </c>
      <c r="I496" s="771" t="s">
        <v>875</v>
      </c>
      <c r="J496" s="773">
        <v>339.2</v>
      </c>
      <c r="K496" s="773">
        <v>339.2</v>
      </c>
      <c r="L496" s="773">
        <v>406.7</v>
      </c>
      <c r="M496" s="773">
        <v>-407</v>
      </c>
      <c r="N496" s="773">
        <v>-420.6</v>
      </c>
      <c r="O496" s="773">
        <v>-439.7</v>
      </c>
    </row>
    <row r="497" spans="1:15" s="667" customFormat="1" ht="60" customHeight="1" x14ac:dyDescent="0.3">
      <c r="A497" s="653"/>
      <c r="B497" s="652" t="s">
        <v>876</v>
      </c>
      <c r="C497" s="764" t="s">
        <v>877</v>
      </c>
      <c r="D497" s="774" t="s">
        <v>878</v>
      </c>
      <c r="E497" s="766" t="s">
        <v>879</v>
      </c>
      <c r="F497" s="751" t="s">
        <v>109</v>
      </c>
      <c r="G497" s="746" t="s">
        <v>125</v>
      </c>
      <c r="H497" s="751"/>
      <c r="I497" s="751"/>
      <c r="J497" s="753">
        <f>SUM(J498:J498)</f>
        <v>0</v>
      </c>
      <c r="K497" s="753">
        <f>SUM(K498:K498)</f>
        <v>0</v>
      </c>
      <c r="L497" s="753">
        <f>SUM(L498:L498)</f>
        <v>0</v>
      </c>
      <c r="M497" s="753">
        <f>M498</f>
        <v>307.60000000000002</v>
      </c>
      <c r="N497" s="753">
        <f t="shared" ref="N497:O497" si="119">N498</f>
        <v>320.5</v>
      </c>
      <c r="O497" s="753">
        <f t="shared" si="119"/>
        <v>333.6</v>
      </c>
    </row>
    <row r="498" spans="1:15" s="667" customFormat="1" ht="49.5" customHeight="1" x14ac:dyDescent="0.3">
      <c r="A498" s="653"/>
      <c r="B498" s="687"/>
      <c r="C498" s="674" t="s">
        <v>880</v>
      </c>
      <c r="D498" s="686"/>
      <c r="E498" s="695" t="s">
        <v>873</v>
      </c>
      <c r="F498" s="658" t="s">
        <v>109</v>
      </c>
      <c r="G498" s="659" t="s">
        <v>125</v>
      </c>
      <c r="H498" s="658" t="s">
        <v>881</v>
      </c>
      <c r="I498" s="658" t="s">
        <v>780</v>
      </c>
      <c r="J498" s="660">
        <v>0</v>
      </c>
      <c r="K498" s="660">
        <v>0</v>
      </c>
      <c r="L498" s="660">
        <v>0</v>
      </c>
      <c r="M498" s="660">
        <v>307.60000000000002</v>
      </c>
      <c r="N498" s="660">
        <v>320.5</v>
      </c>
      <c r="O498" s="660">
        <v>333.6</v>
      </c>
    </row>
    <row r="499" spans="1:15" s="667" customFormat="1" ht="52.5" customHeight="1" x14ac:dyDescent="0.3">
      <c r="A499" s="653"/>
      <c r="B499" s="652" t="s">
        <v>882</v>
      </c>
      <c r="C499" s="775"/>
      <c r="D499" s="776"/>
      <c r="E499" s="776"/>
      <c r="F499" s="751" t="s">
        <v>109</v>
      </c>
      <c r="G499" s="746" t="s">
        <v>110</v>
      </c>
      <c r="H499" s="751"/>
      <c r="I499" s="752"/>
      <c r="J499" s="753">
        <f>J500+J512+J519+J521+J526+J529+J532+J533+J520+J518+J538</f>
        <v>247246.99999999994</v>
      </c>
      <c r="K499" s="753">
        <f t="shared" ref="K499:O499" si="120">K500+K512+K519+K521+K526+K529+K532+K533+K520+K518+K538</f>
        <v>247097.99999999994</v>
      </c>
      <c r="L499" s="753">
        <f t="shared" si="120"/>
        <v>219010.9</v>
      </c>
      <c r="M499" s="753">
        <f t="shared" si="120"/>
        <v>201034.1</v>
      </c>
      <c r="N499" s="753">
        <f t="shared" si="120"/>
        <v>131476.5</v>
      </c>
      <c r="O499" s="753">
        <f t="shared" si="120"/>
        <v>140214.59999999998</v>
      </c>
    </row>
    <row r="500" spans="1:15" s="667" customFormat="1" ht="63.75" customHeight="1" x14ac:dyDescent="0.3">
      <c r="A500" s="653"/>
      <c r="B500" s="654"/>
      <c r="C500" s="777" t="s">
        <v>883</v>
      </c>
      <c r="D500" s="776"/>
      <c r="E500" s="778"/>
      <c r="F500" s="751"/>
      <c r="G500" s="746"/>
      <c r="H500" s="751"/>
      <c r="I500" s="752"/>
      <c r="J500" s="753">
        <f>SUM(J501:J511)</f>
        <v>74714.2</v>
      </c>
      <c r="K500" s="753">
        <f t="shared" ref="K500:O500" si="121">SUM(K501:K511)</f>
        <v>74565.2</v>
      </c>
      <c r="L500" s="753">
        <f t="shared" si="121"/>
        <v>94114.5</v>
      </c>
      <c r="M500" s="753">
        <f t="shared" si="121"/>
        <v>83400.600000000006</v>
      </c>
      <c r="N500" s="753">
        <f t="shared" si="121"/>
        <v>86008.4</v>
      </c>
      <c r="O500" s="753">
        <f t="shared" si="121"/>
        <v>87682.9</v>
      </c>
    </row>
    <row r="501" spans="1:15" s="667" customFormat="1" ht="38.25" customHeight="1" x14ac:dyDescent="0.3">
      <c r="A501" s="653"/>
      <c r="B501" s="654"/>
      <c r="C501" s="696" t="s">
        <v>884</v>
      </c>
      <c r="D501" s="697" t="s">
        <v>99</v>
      </c>
      <c r="E501" s="698" t="s">
        <v>885</v>
      </c>
      <c r="F501" s="658" t="s">
        <v>109</v>
      </c>
      <c r="G501" s="659" t="s">
        <v>110</v>
      </c>
      <c r="H501" s="658" t="s">
        <v>886</v>
      </c>
      <c r="I501" s="658" t="s">
        <v>280</v>
      </c>
      <c r="J501" s="660">
        <v>7374.8</v>
      </c>
      <c r="K501" s="660">
        <v>7374.8</v>
      </c>
      <c r="L501" s="660">
        <v>8875.2000000000007</v>
      </c>
      <c r="M501" s="660">
        <v>9399.9</v>
      </c>
      <c r="N501" s="660">
        <v>8320.6</v>
      </c>
      <c r="O501" s="660">
        <v>8320.6</v>
      </c>
    </row>
    <row r="502" spans="1:15" s="667" customFormat="1" ht="38.25" customHeight="1" x14ac:dyDescent="0.3">
      <c r="A502" s="653"/>
      <c r="B502" s="654"/>
      <c r="C502" s="699"/>
      <c r="D502" s="700"/>
      <c r="E502" s="701"/>
      <c r="F502" s="658" t="s">
        <v>109</v>
      </c>
      <c r="G502" s="659" t="s">
        <v>110</v>
      </c>
      <c r="H502" s="658" t="s">
        <v>886</v>
      </c>
      <c r="I502" s="658" t="s">
        <v>281</v>
      </c>
      <c r="J502" s="660">
        <v>10.4</v>
      </c>
      <c r="K502" s="660">
        <v>10.4</v>
      </c>
      <c r="L502" s="660">
        <v>0</v>
      </c>
      <c r="M502" s="660">
        <v>0</v>
      </c>
      <c r="N502" s="660">
        <v>0</v>
      </c>
      <c r="O502" s="660">
        <v>0</v>
      </c>
    </row>
    <row r="503" spans="1:15" s="667" customFormat="1" ht="38.25" customHeight="1" x14ac:dyDescent="0.3">
      <c r="A503" s="653"/>
      <c r="B503" s="654"/>
      <c r="C503" s="699"/>
      <c r="D503" s="700"/>
      <c r="E503" s="701"/>
      <c r="F503" s="658" t="s">
        <v>109</v>
      </c>
      <c r="G503" s="659" t="s">
        <v>110</v>
      </c>
      <c r="H503" s="658" t="s">
        <v>886</v>
      </c>
      <c r="I503" s="658" t="s">
        <v>284</v>
      </c>
      <c r="J503" s="660">
        <v>2042</v>
      </c>
      <c r="K503" s="660">
        <v>2042</v>
      </c>
      <c r="L503" s="660">
        <v>2650.1</v>
      </c>
      <c r="M503" s="660">
        <v>2844.9</v>
      </c>
      <c r="N503" s="660">
        <v>2512.6999999999998</v>
      </c>
      <c r="O503" s="660">
        <v>2512.6999999999998</v>
      </c>
    </row>
    <row r="504" spans="1:15" s="667" customFormat="1" ht="38.25" customHeight="1" x14ac:dyDescent="0.3">
      <c r="A504" s="653"/>
      <c r="B504" s="654"/>
      <c r="C504" s="699"/>
      <c r="D504" s="700" t="s">
        <v>99</v>
      </c>
      <c r="E504" s="701"/>
      <c r="F504" s="658" t="s">
        <v>109</v>
      </c>
      <c r="G504" s="659" t="s">
        <v>110</v>
      </c>
      <c r="H504" s="658" t="s">
        <v>886</v>
      </c>
      <c r="I504" s="658" t="s">
        <v>31</v>
      </c>
      <c r="J504" s="660">
        <f>2525.3+0.1</f>
        <v>2525.4</v>
      </c>
      <c r="K504" s="660">
        <v>2381.9</v>
      </c>
      <c r="L504" s="660">
        <v>1969.6</v>
      </c>
      <c r="M504" s="660">
        <v>378.5</v>
      </c>
      <c r="N504" s="660">
        <v>447.2</v>
      </c>
      <c r="O504" s="660">
        <v>456.1</v>
      </c>
    </row>
    <row r="505" spans="1:15" s="667" customFormat="1" ht="38.25" customHeight="1" x14ac:dyDescent="0.3">
      <c r="A505" s="653"/>
      <c r="B505" s="654"/>
      <c r="C505" s="699"/>
      <c r="D505" s="700"/>
      <c r="E505" s="701"/>
      <c r="F505" s="658" t="s">
        <v>109</v>
      </c>
      <c r="G505" s="659" t="s">
        <v>110</v>
      </c>
      <c r="H505" s="658" t="s">
        <v>886</v>
      </c>
      <c r="I505" s="658" t="s">
        <v>87</v>
      </c>
      <c r="J505" s="660">
        <v>629.79999999999995</v>
      </c>
      <c r="K505" s="660">
        <v>624.29999999999995</v>
      </c>
      <c r="L505" s="660">
        <v>642.9</v>
      </c>
      <c r="M505" s="660">
        <v>227.4</v>
      </c>
      <c r="N505" s="660">
        <v>227.4</v>
      </c>
      <c r="O505" s="660">
        <v>227.4</v>
      </c>
    </row>
    <row r="506" spans="1:15" s="667" customFormat="1" ht="38.25" customHeight="1" x14ac:dyDescent="0.3">
      <c r="A506" s="653"/>
      <c r="B506" s="654"/>
      <c r="C506" s="699"/>
      <c r="D506" s="700"/>
      <c r="E506" s="701"/>
      <c r="F506" s="658" t="s">
        <v>109</v>
      </c>
      <c r="G506" s="659" t="s">
        <v>110</v>
      </c>
      <c r="H506" s="658" t="s">
        <v>886</v>
      </c>
      <c r="I506" s="658" t="s">
        <v>83</v>
      </c>
      <c r="J506" s="660">
        <v>0</v>
      </c>
      <c r="K506" s="660">
        <v>0</v>
      </c>
      <c r="L506" s="660">
        <v>99.9</v>
      </c>
      <c r="M506" s="660">
        <v>0</v>
      </c>
      <c r="N506" s="660">
        <v>0</v>
      </c>
      <c r="O506" s="660">
        <v>0</v>
      </c>
    </row>
    <row r="507" spans="1:15" s="667" customFormat="1" ht="38.25" customHeight="1" x14ac:dyDescent="0.3">
      <c r="A507" s="653"/>
      <c r="B507" s="654"/>
      <c r="C507" s="699"/>
      <c r="D507" s="700"/>
      <c r="E507" s="701"/>
      <c r="F507" s="658" t="s">
        <v>109</v>
      </c>
      <c r="G507" s="659" t="s">
        <v>110</v>
      </c>
      <c r="H507" s="658" t="s">
        <v>886</v>
      </c>
      <c r="I507" s="658" t="s">
        <v>90</v>
      </c>
      <c r="J507" s="660">
        <v>194.7</v>
      </c>
      <c r="K507" s="660">
        <v>194.7</v>
      </c>
      <c r="L507" s="660">
        <v>0</v>
      </c>
      <c r="M507" s="660">
        <v>0</v>
      </c>
      <c r="N507" s="660">
        <v>0</v>
      </c>
      <c r="O507" s="660">
        <v>0</v>
      </c>
    </row>
    <row r="508" spans="1:15" s="667" customFormat="1" ht="36.75" customHeight="1" x14ac:dyDescent="0.3">
      <c r="A508" s="653"/>
      <c r="B508" s="654"/>
      <c r="C508" s="699"/>
      <c r="D508" s="656"/>
      <c r="E508" s="701"/>
      <c r="F508" s="658" t="s">
        <v>109</v>
      </c>
      <c r="G508" s="659" t="s">
        <v>110</v>
      </c>
      <c r="H508" s="658" t="s">
        <v>886</v>
      </c>
      <c r="I508" s="658" t="s">
        <v>33</v>
      </c>
      <c r="J508" s="660">
        <v>2.6</v>
      </c>
      <c r="K508" s="660">
        <v>2.6</v>
      </c>
      <c r="L508" s="660">
        <v>1.3</v>
      </c>
      <c r="M508" s="660">
        <v>0</v>
      </c>
      <c r="N508" s="660">
        <v>0</v>
      </c>
      <c r="O508" s="660">
        <v>0</v>
      </c>
    </row>
    <row r="509" spans="1:15" s="667" customFormat="1" ht="36.75" customHeight="1" x14ac:dyDescent="0.3">
      <c r="A509" s="653"/>
      <c r="B509" s="654"/>
      <c r="C509" s="699"/>
      <c r="D509" s="656"/>
      <c r="E509" s="701"/>
      <c r="F509" s="658" t="s">
        <v>109</v>
      </c>
      <c r="G509" s="659" t="s">
        <v>110</v>
      </c>
      <c r="H509" s="658" t="s">
        <v>886</v>
      </c>
      <c r="I509" s="658" t="s">
        <v>35</v>
      </c>
      <c r="J509" s="660">
        <v>0</v>
      </c>
      <c r="K509" s="660">
        <v>0</v>
      </c>
      <c r="L509" s="660">
        <v>16.5</v>
      </c>
      <c r="M509" s="660">
        <v>0</v>
      </c>
      <c r="N509" s="660">
        <f t="shared" ref="N509:O509" si="122">153020/1000-153.02</f>
        <v>0</v>
      </c>
      <c r="O509" s="660">
        <f t="shared" si="122"/>
        <v>0</v>
      </c>
    </row>
    <row r="510" spans="1:15" s="667" customFormat="1" ht="36.75" customHeight="1" x14ac:dyDescent="0.3">
      <c r="A510" s="653"/>
      <c r="B510" s="654"/>
      <c r="C510" s="699"/>
      <c r="D510" s="656"/>
      <c r="E510" s="701"/>
      <c r="F510" s="658" t="s">
        <v>109</v>
      </c>
      <c r="G510" s="659" t="s">
        <v>110</v>
      </c>
      <c r="H510" s="658" t="s">
        <v>886</v>
      </c>
      <c r="I510" s="658" t="s">
        <v>39</v>
      </c>
      <c r="J510" s="660">
        <v>40</v>
      </c>
      <c r="K510" s="660">
        <v>40</v>
      </c>
      <c r="L510" s="660">
        <v>17.899999999999999</v>
      </c>
      <c r="M510" s="660">
        <v>2.8</v>
      </c>
      <c r="N510" s="660">
        <v>2.8</v>
      </c>
      <c r="O510" s="660">
        <v>2.8</v>
      </c>
    </row>
    <row r="511" spans="1:15" s="667" customFormat="1" ht="36.75" customHeight="1" x14ac:dyDescent="0.3">
      <c r="A511" s="653"/>
      <c r="B511" s="654"/>
      <c r="C511" s="699"/>
      <c r="D511" s="656"/>
      <c r="E511" s="701"/>
      <c r="F511" s="658" t="s">
        <v>109</v>
      </c>
      <c r="G511" s="659" t="s">
        <v>110</v>
      </c>
      <c r="H511" s="658" t="s">
        <v>886</v>
      </c>
      <c r="I511" s="658" t="s">
        <v>777</v>
      </c>
      <c r="J511" s="660">
        <v>61894.5</v>
      </c>
      <c r="K511" s="660">
        <v>61894.5</v>
      </c>
      <c r="L511" s="660">
        <v>79841.100000000006</v>
      </c>
      <c r="M511" s="660">
        <v>70547.100000000006</v>
      </c>
      <c r="N511" s="660">
        <v>74497.7</v>
      </c>
      <c r="O511" s="660">
        <v>76163.3</v>
      </c>
    </row>
    <row r="512" spans="1:15" s="667" customFormat="1" ht="36.75" customHeight="1" x14ac:dyDescent="0.3">
      <c r="A512" s="653"/>
      <c r="B512" s="654"/>
      <c r="C512" s="702"/>
      <c r="D512" s="671"/>
      <c r="E512" s="703"/>
      <c r="F512" s="704" t="s">
        <v>109</v>
      </c>
      <c r="G512" s="705" t="s">
        <v>110</v>
      </c>
      <c r="H512" s="704" t="s">
        <v>854</v>
      </c>
      <c r="I512" s="704"/>
      <c r="J512" s="644">
        <f>SUM(J513:J517)</f>
        <v>136415.69999999998</v>
      </c>
      <c r="K512" s="644">
        <f t="shared" ref="K512:O512" si="123">SUM(K513:K517)</f>
        <v>136415.69999999998</v>
      </c>
      <c r="L512" s="644">
        <f t="shared" si="123"/>
        <v>109753</v>
      </c>
      <c r="M512" s="644">
        <f t="shared" si="123"/>
        <v>106014.8</v>
      </c>
      <c r="N512" s="644">
        <f t="shared" si="123"/>
        <v>31599.4</v>
      </c>
      <c r="O512" s="644">
        <f t="shared" si="123"/>
        <v>38100</v>
      </c>
    </row>
    <row r="513" spans="1:20" s="667" customFormat="1" ht="36.75" customHeight="1" x14ac:dyDescent="0.3">
      <c r="A513" s="653"/>
      <c r="B513" s="654"/>
      <c r="C513" s="655" t="s">
        <v>887</v>
      </c>
      <c r="D513" s="706"/>
      <c r="E513" s="690" t="s">
        <v>873</v>
      </c>
      <c r="F513" s="658" t="s">
        <v>109</v>
      </c>
      <c r="G513" s="659" t="s">
        <v>110</v>
      </c>
      <c r="H513" s="658" t="s">
        <v>854</v>
      </c>
      <c r="I513" s="658" t="s">
        <v>888</v>
      </c>
      <c r="J513" s="660">
        <v>0</v>
      </c>
      <c r="K513" s="660">
        <v>0</v>
      </c>
      <c r="L513" s="660">
        <v>0</v>
      </c>
      <c r="M513" s="660">
        <v>0</v>
      </c>
      <c r="N513" s="660">
        <v>0</v>
      </c>
      <c r="O513" s="660">
        <v>0</v>
      </c>
    </row>
    <row r="514" spans="1:20" s="667" customFormat="1" ht="36.75" customHeight="1" x14ac:dyDescent="0.3">
      <c r="A514" s="653"/>
      <c r="B514" s="654"/>
      <c r="C514" s="707"/>
      <c r="D514" s="708"/>
      <c r="E514" s="709"/>
      <c r="F514" s="658" t="s">
        <v>109</v>
      </c>
      <c r="G514" s="659" t="s">
        <v>110</v>
      </c>
      <c r="H514" s="658" t="s">
        <v>854</v>
      </c>
      <c r="I514" s="658" t="s">
        <v>31</v>
      </c>
      <c r="J514" s="660">
        <v>1395.9</v>
      </c>
      <c r="K514" s="660">
        <v>1395.9</v>
      </c>
      <c r="L514" s="660">
        <v>171</v>
      </c>
      <c r="M514" s="660">
        <v>0</v>
      </c>
      <c r="N514" s="660">
        <v>0</v>
      </c>
      <c r="O514" s="660">
        <v>0</v>
      </c>
      <c r="P514" s="710"/>
    </row>
    <row r="515" spans="1:20" s="667" customFormat="1" ht="36.75" customHeight="1" x14ac:dyDescent="0.3">
      <c r="A515" s="653"/>
      <c r="B515" s="654"/>
      <c r="C515" s="707"/>
      <c r="D515" s="708"/>
      <c r="E515" s="709"/>
      <c r="F515" s="658" t="s">
        <v>109</v>
      </c>
      <c r="G515" s="659" t="s">
        <v>110</v>
      </c>
      <c r="H515" s="658" t="s">
        <v>854</v>
      </c>
      <c r="I515" s="658" t="s">
        <v>838</v>
      </c>
      <c r="J515" s="660">
        <f>679+290.6</f>
        <v>969.6</v>
      </c>
      <c r="K515" s="660">
        <f>679+290.6</f>
        <v>969.6</v>
      </c>
      <c r="L515" s="660">
        <v>0</v>
      </c>
      <c r="M515" s="660">
        <v>0</v>
      </c>
      <c r="N515" s="660">
        <v>0</v>
      </c>
      <c r="O515" s="660">
        <v>0</v>
      </c>
      <c r="P515" s="710"/>
    </row>
    <row r="516" spans="1:20" s="667" customFormat="1" ht="36.75" customHeight="1" x14ac:dyDescent="0.3">
      <c r="A516" s="653"/>
      <c r="B516" s="654"/>
      <c r="C516" s="707"/>
      <c r="D516" s="708"/>
      <c r="E516" s="709"/>
      <c r="F516" s="658" t="s">
        <v>109</v>
      </c>
      <c r="G516" s="659" t="s">
        <v>110</v>
      </c>
      <c r="H516" s="658" t="s">
        <v>854</v>
      </c>
      <c r="I516" s="658" t="s">
        <v>780</v>
      </c>
      <c r="J516" s="660">
        <f>28048.5+70780+23142.2+6048.6+2289</f>
        <v>130308.3</v>
      </c>
      <c r="K516" s="660">
        <f>28048.5+70780+23142.2+6048.6+2289</f>
        <v>130308.3</v>
      </c>
      <c r="L516" s="660">
        <v>103286.3</v>
      </c>
      <c r="M516" s="660">
        <v>102294.8</v>
      </c>
      <c r="N516" s="660">
        <v>28029.4</v>
      </c>
      <c r="O516" s="660">
        <v>34530</v>
      </c>
      <c r="P516" s="710"/>
    </row>
    <row r="517" spans="1:20" s="667" customFormat="1" ht="36.75" customHeight="1" x14ac:dyDescent="0.3">
      <c r="A517" s="653"/>
      <c r="B517" s="654"/>
      <c r="C517" s="662"/>
      <c r="D517" s="708"/>
      <c r="E517" s="709"/>
      <c r="F517" s="658" t="s">
        <v>109</v>
      </c>
      <c r="G517" s="659" t="s">
        <v>110</v>
      </c>
      <c r="H517" s="658" t="s">
        <v>854</v>
      </c>
      <c r="I517" s="658" t="s">
        <v>869</v>
      </c>
      <c r="J517" s="660">
        <v>3741.9</v>
      </c>
      <c r="K517" s="660">
        <v>3741.9</v>
      </c>
      <c r="L517" s="660">
        <v>6295.7</v>
      </c>
      <c r="M517" s="660">
        <v>3720</v>
      </c>
      <c r="N517" s="660">
        <v>3570</v>
      </c>
      <c r="O517" s="660">
        <v>3570</v>
      </c>
    </row>
    <row r="518" spans="1:20" s="667" customFormat="1" ht="50.25" customHeight="1" x14ac:dyDescent="0.3">
      <c r="A518" s="653"/>
      <c r="B518" s="654"/>
      <c r="C518" s="676" t="s">
        <v>889</v>
      </c>
      <c r="D518" s="711"/>
      <c r="E518" s="664"/>
      <c r="F518" s="704" t="s">
        <v>109</v>
      </c>
      <c r="G518" s="705" t="s">
        <v>110</v>
      </c>
      <c r="H518" s="704" t="s">
        <v>890</v>
      </c>
      <c r="I518" s="704" t="s">
        <v>780</v>
      </c>
      <c r="J518" s="644">
        <v>0</v>
      </c>
      <c r="K518" s="644">
        <v>0</v>
      </c>
      <c r="L518" s="644">
        <v>885.4</v>
      </c>
      <c r="M518" s="644">
        <v>0</v>
      </c>
      <c r="N518" s="644">
        <v>0</v>
      </c>
      <c r="O518" s="644">
        <v>0</v>
      </c>
    </row>
    <row r="519" spans="1:20" s="667" customFormat="1" ht="54.75" customHeight="1" x14ac:dyDescent="0.3">
      <c r="A519" s="653"/>
      <c r="B519" s="654"/>
      <c r="C519" s="676" t="s">
        <v>891</v>
      </c>
      <c r="D519" s="711"/>
      <c r="E519" s="779"/>
      <c r="F519" s="751" t="s">
        <v>109</v>
      </c>
      <c r="G519" s="746" t="s">
        <v>110</v>
      </c>
      <c r="H519" s="751" t="s">
        <v>892</v>
      </c>
      <c r="I519" s="751" t="s">
        <v>780</v>
      </c>
      <c r="J519" s="753">
        <f>44.5+843.8</f>
        <v>888.3</v>
      </c>
      <c r="K519" s="753">
        <f>44.5+843.8</f>
        <v>888.3</v>
      </c>
      <c r="L519" s="753">
        <f>93.7+1780.2</f>
        <v>1873.9</v>
      </c>
      <c r="M519" s="753">
        <v>0</v>
      </c>
      <c r="N519" s="753">
        <v>0</v>
      </c>
      <c r="O519" s="753">
        <v>0</v>
      </c>
    </row>
    <row r="520" spans="1:20" s="667" customFormat="1" ht="54.75" customHeight="1" x14ac:dyDescent="0.3">
      <c r="A520" s="653"/>
      <c r="B520" s="654"/>
      <c r="C520" s="712"/>
      <c r="D520" s="711"/>
      <c r="E520" s="779"/>
      <c r="F520" s="751" t="s">
        <v>109</v>
      </c>
      <c r="G520" s="746" t="s">
        <v>110</v>
      </c>
      <c r="H520" s="751" t="s">
        <v>893</v>
      </c>
      <c r="I520" s="751" t="s">
        <v>31</v>
      </c>
      <c r="J520" s="753">
        <v>15.2</v>
      </c>
      <c r="K520" s="753">
        <v>15.2</v>
      </c>
      <c r="L520" s="753">
        <v>0</v>
      </c>
      <c r="M520" s="753">
        <v>0</v>
      </c>
      <c r="N520" s="753">
        <v>0</v>
      </c>
      <c r="O520" s="753">
        <v>0</v>
      </c>
    </row>
    <row r="521" spans="1:20" s="667" customFormat="1" ht="33" customHeight="1" x14ac:dyDescent="0.3">
      <c r="A521" s="653"/>
      <c r="B521" s="654"/>
      <c r="C521" s="655" t="s">
        <v>894</v>
      </c>
      <c r="D521" s="706"/>
      <c r="E521" s="768" t="s">
        <v>873</v>
      </c>
      <c r="F521" s="752"/>
      <c r="G521" s="757"/>
      <c r="H521" s="752"/>
      <c r="I521" s="752"/>
      <c r="J521" s="753">
        <f>J522+J524+J523++J525</f>
        <v>28553.9</v>
      </c>
      <c r="K521" s="753">
        <f t="shared" ref="K521:O521" si="124">K522+K524+K523++K525</f>
        <v>28553.9</v>
      </c>
      <c r="L521" s="753">
        <f t="shared" si="124"/>
        <v>3918.7</v>
      </c>
      <c r="M521" s="753">
        <f t="shared" si="124"/>
        <v>2055.4</v>
      </c>
      <c r="N521" s="753">
        <f t="shared" si="124"/>
        <v>3912.5</v>
      </c>
      <c r="O521" s="753">
        <f t="shared" si="124"/>
        <v>4072.9</v>
      </c>
    </row>
    <row r="522" spans="1:20" s="667" customFormat="1" ht="23.25" customHeight="1" x14ac:dyDescent="0.3">
      <c r="A522" s="653"/>
      <c r="B522" s="654"/>
      <c r="C522" s="707"/>
      <c r="D522" s="708"/>
      <c r="E522" s="780"/>
      <c r="F522" s="752" t="s">
        <v>109</v>
      </c>
      <c r="G522" s="757" t="s">
        <v>110</v>
      </c>
      <c r="H522" s="752" t="s">
        <v>895</v>
      </c>
      <c r="I522" s="752" t="s">
        <v>780</v>
      </c>
      <c r="J522" s="761">
        <f>4594.6+741.9+2574.5+388.7</f>
        <v>8299.7000000000007</v>
      </c>
      <c r="K522" s="761">
        <f>4594.6+741.9+2574.5+388.7</f>
        <v>8299.7000000000007</v>
      </c>
      <c r="L522" s="761">
        <v>2488.9</v>
      </c>
      <c r="M522" s="761">
        <v>1055.4000000000001</v>
      </c>
      <c r="N522" s="761">
        <v>2662.7</v>
      </c>
      <c r="O522" s="761">
        <v>2771.8</v>
      </c>
    </row>
    <row r="523" spans="1:20" s="667" customFormat="1" ht="23.25" customHeight="1" x14ac:dyDescent="0.3">
      <c r="A523" s="653"/>
      <c r="B523" s="654"/>
      <c r="C523" s="707"/>
      <c r="D523" s="708"/>
      <c r="E523" s="780"/>
      <c r="F523" s="752" t="s">
        <v>109</v>
      </c>
      <c r="G523" s="757" t="s">
        <v>110</v>
      </c>
      <c r="H523" s="752" t="s">
        <v>895</v>
      </c>
      <c r="I523" s="752" t="s">
        <v>869</v>
      </c>
      <c r="J523" s="761">
        <v>54.7</v>
      </c>
      <c r="K523" s="761">
        <v>54.7</v>
      </c>
      <c r="L523" s="761">
        <v>0</v>
      </c>
      <c r="M523" s="761">
        <v>0</v>
      </c>
      <c r="N523" s="761">
        <v>0</v>
      </c>
      <c r="O523" s="761">
        <v>0</v>
      </c>
    </row>
    <row r="524" spans="1:20" s="667" customFormat="1" ht="21" customHeight="1" x14ac:dyDescent="0.3">
      <c r="A524" s="653"/>
      <c r="B524" s="654"/>
      <c r="C524" s="707"/>
      <c r="D524" s="708"/>
      <c r="E524" s="780"/>
      <c r="F524" s="752" t="s">
        <v>109</v>
      </c>
      <c r="G524" s="757" t="s">
        <v>110</v>
      </c>
      <c r="H524" s="752" t="s">
        <v>896</v>
      </c>
      <c r="I524" s="752" t="s">
        <v>780</v>
      </c>
      <c r="J524" s="761">
        <f>5145.4+8837.1+6180.2</f>
        <v>20162.7</v>
      </c>
      <c r="K524" s="761">
        <f>5145.4+8837.1+6180.2</f>
        <v>20162.7</v>
      </c>
      <c r="L524" s="761">
        <v>1429.8</v>
      </c>
      <c r="M524" s="761">
        <v>1000</v>
      </c>
      <c r="N524" s="761">
        <v>1249.8</v>
      </c>
      <c r="O524" s="761">
        <v>1301.0999999999999</v>
      </c>
      <c r="R524" s="668"/>
      <c r="S524" s="668"/>
      <c r="T524" s="668"/>
    </row>
    <row r="525" spans="1:20" s="667" customFormat="1" ht="21" customHeight="1" x14ac:dyDescent="0.3">
      <c r="A525" s="653"/>
      <c r="B525" s="654"/>
      <c r="C525" s="683"/>
      <c r="D525" s="711"/>
      <c r="E525" s="779"/>
      <c r="F525" s="752" t="s">
        <v>109</v>
      </c>
      <c r="G525" s="757" t="s">
        <v>110</v>
      </c>
      <c r="H525" s="752" t="s">
        <v>896</v>
      </c>
      <c r="I525" s="752" t="s">
        <v>869</v>
      </c>
      <c r="J525" s="761">
        <v>36.799999999999997</v>
      </c>
      <c r="K525" s="761">
        <v>36.799999999999997</v>
      </c>
      <c r="L525" s="761">
        <v>0</v>
      </c>
      <c r="M525" s="761">
        <v>0</v>
      </c>
      <c r="N525" s="761">
        <v>0</v>
      </c>
      <c r="O525" s="761">
        <v>0</v>
      </c>
      <c r="R525" s="668"/>
      <c r="S525" s="668"/>
      <c r="T525" s="668"/>
    </row>
    <row r="526" spans="1:20" s="667" customFormat="1" ht="21" customHeight="1" x14ac:dyDescent="0.3">
      <c r="A526" s="653"/>
      <c r="B526" s="654"/>
      <c r="C526" s="655" t="s">
        <v>897</v>
      </c>
      <c r="D526" s="706"/>
      <c r="E526" s="781"/>
      <c r="F526" s="752"/>
      <c r="G526" s="757"/>
      <c r="H526" s="752"/>
      <c r="I526" s="752"/>
      <c r="J526" s="753">
        <f>J527+J528</f>
        <v>50.5</v>
      </c>
      <c r="K526" s="753">
        <f t="shared" ref="K526:O526" si="125">K527+K528</f>
        <v>50.5</v>
      </c>
      <c r="L526" s="753">
        <f t="shared" si="125"/>
        <v>39.6</v>
      </c>
      <c r="M526" s="753">
        <f t="shared" si="125"/>
        <v>130.19999999999999</v>
      </c>
      <c r="N526" s="753">
        <f t="shared" si="125"/>
        <v>135.6</v>
      </c>
      <c r="O526" s="753">
        <f t="shared" si="125"/>
        <v>141.19999999999999</v>
      </c>
    </row>
    <row r="527" spans="1:20" s="667" customFormat="1" ht="52.5" customHeight="1" x14ac:dyDescent="0.3">
      <c r="A527" s="653"/>
      <c r="B527" s="654"/>
      <c r="C527" s="707"/>
      <c r="D527" s="708"/>
      <c r="E527" s="690" t="s">
        <v>873</v>
      </c>
      <c r="F527" s="658" t="s">
        <v>109</v>
      </c>
      <c r="G527" s="659" t="s">
        <v>110</v>
      </c>
      <c r="H527" s="658" t="s">
        <v>801</v>
      </c>
      <c r="I527" s="658" t="s">
        <v>780</v>
      </c>
      <c r="J527" s="660">
        <v>34.299999999999997</v>
      </c>
      <c r="K527" s="660">
        <v>34.299999999999997</v>
      </c>
      <c r="L527" s="660">
        <v>19.8</v>
      </c>
      <c r="M527" s="660">
        <v>130.19999999999999</v>
      </c>
      <c r="N527" s="660">
        <v>135.6</v>
      </c>
      <c r="O527" s="660">
        <v>141.19999999999999</v>
      </c>
    </row>
    <row r="528" spans="1:20" s="667" customFormat="1" ht="51.75" customHeight="1" x14ac:dyDescent="0.3">
      <c r="A528" s="653"/>
      <c r="B528" s="654"/>
      <c r="C528" s="662"/>
      <c r="D528" s="713"/>
      <c r="E528" s="692"/>
      <c r="F528" s="679" t="s">
        <v>109</v>
      </c>
      <c r="G528" s="693" t="s">
        <v>110</v>
      </c>
      <c r="H528" s="658" t="s">
        <v>801</v>
      </c>
      <c r="I528" s="679" t="s">
        <v>281</v>
      </c>
      <c r="J528" s="694">
        <v>16.2</v>
      </c>
      <c r="K528" s="694">
        <v>16.2</v>
      </c>
      <c r="L528" s="694">
        <v>19.8</v>
      </c>
      <c r="M528" s="694">
        <v>0</v>
      </c>
      <c r="N528" s="694">
        <v>0</v>
      </c>
      <c r="O528" s="694">
        <v>0</v>
      </c>
    </row>
    <row r="529" spans="1:184" s="667" customFormat="1" ht="57" customHeight="1" x14ac:dyDescent="0.3">
      <c r="A529" s="653"/>
      <c r="B529" s="654"/>
      <c r="C529" s="758" t="s">
        <v>898</v>
      </c>
      <c r="D529" s="787"/>
      <c r="E529" s="788" t="s">
        <v>873</v>
      </c>
      <c r="F529" s="752" t="s">
        <v>109</v>
      </c>
      <c r="G529" s="757" t="s">
        <v>110</v>
      </c>
      <c r="H529" s="752" t="s">
        <v>798</v>
      </c>
      <c r="I529" s="752" t="s">
        <v>780</v>
      </c>
      <c r="J529" s="753">
        <v>339</v>
      </c>
      <c r="K529" s="753">
        <v>339</v>
      </c>
      <c r="L529" s="753">
        <v>567.5</v>
      </c>
      <c r="M529" s="753">
        <v>540.29999999999995</v>
      </c>
      <c r="N529" s="753">
        <v>563</v>
      </c>
      <c r="O529" s="753">
        <v>586</v>
      </c>
      <c r="P529" s="714"/>
      <c r="Q529" s="714"/>
      <c r="R529" s="714"/>
      <c r="S529" s="714"/>
      <c r="T529" s="714"/>
      <c r="U529" s="714"/>
      <c r="V529" s="714"/>
      <c r="W529" s="714"/>
      <c r="X529" s="714"/>
      <c r="Y529" s="714"/>
      <c r="Z529" s="714"/>
      <c r="AA529" s="714"/>
      <c r="AB529" s="714"/>
      <c r="AC529" s="714"/>
      <c r="AD529" s="714"/>
      <c r="AE529" s="714"/>
      <c r="AF529" s="714"/>
      <c r="AG529" s="714"/>
      <c r="AH529" s="714"/>
      <c r="AI529" s="714"/>
      <c r="AJ529" s="714"/>
      <c r="AK529" s="714"/>
      <c r="AL529" s="714"/>
      <c r="AM529" s="714"/>
      <c r="AN529" s="714"/>
      <c r="AO529" s="714"/>
      <c r="AP529" s="714"/>
      <c r="AQ529" s="714"/>
      <c r="AR529" s="714"/>
      <c r="AS529" s="714"/>
      <c r="AT529" s="714"/>
      <c r="AU529" s="714"/>
      <c r="AV529" s="714"/>
      <c r="AW529" s="714"/>
      <c r="AX529" s="714"/>
      <c r="AY529" s="714"/>
      <c r="AZ529" s="714"/>
      <c r="BA529" s="714"/>
      <c r="BB529" s="714"/>
      <c r="BC529" s="714"/>
      <c r="BD529" s="714"/>
      <c r="BE529" s="714"/>
      <c r="BF529" s="714"/>
      <c r="BG529" s="714"/>
      <c r="BH529" s="714"/>
      <c r="BI529" s="714"/>
      <c r="BJ529" s="714"/>
      <c r="BK529" s="714"/>
      <c r="BL529" s="714"/>
      <c r="BM529" s="714"/>
      <c r="BN529" s="714"/>
      <c r="BO529" s="714"/>
      <c r="BP529" s="714"/>
      <c r="BQ529" s="714"/>
      <c r="BR529" s="714"/>
      <c r="BS529" s="714"/>
      <c r="BT529" s="714"/>
      <c r="BU529" s="714"/>
      <c r="BV529" s="714"/>
      <c r="BW529" s="714"/>
      <c r="BX529" s="714"/>
      <c r="BY529" s="714"/>
      <c r="BZ529" s="714"/>
      <c r="CA529" s="714"/>
      <c r="CB529" s="714"/>
      <c r="CC529" s="714"/>
      <c r="CD529" s="714"/>
      <c r="CE529" s="714"/>
      <c r="CF529" s="714"/>
      <c r="CG529" s="714"/>
      <c r="CH529" s="714"/>
      <c r="CI529" s="714"/>
      <c r="CJ529" s="714"/>
      <c r="CK529" s="714"/>
      <c r="CL529" s="714"/>
      <c r="CM529" s="714"/>
      <c r="CN529" s="714"/>
      <c r="CO529" s="714"/>
      <c r="CP529" s="714"/>
      <c r="CQ529" s="714"/>
      <c r="CR529" s="714"/>
      <c r="CS529" s="714"/>
      <c r="CT529" s="714"/>
      <c r="CU529" s="714"/>
      <c r="CV529" s="714"/>
      <c r="CW529" s="714"/>
      <c r="CX529" s="714"/>
      <c r="CY529" s="714"/>
      <c r="CZ529" s="714"/>
      <c r="DA529" s="714"/>
      <c r="DB529" s="714"/>
      <c r="DC529" s="714"/>
      <c r="DD529" s="714"/>
      <c r="DE529" s="714"/>
      <c r="DF529" s="714"/>
      <c r="DG529" s="714"/>
      <c r="DH529" s="714"/>
      <c r="DI529" s="714"/>
      <c r="DJ529" s="714"/>
      <c r="DK529" s="714"/>
      <c r="DL529" s="714"/>
      <c r="DM529" s="714"/>
      <c r="DN529" s="714"/>
      <c r="DO529" s="714"/>
      <c r="DP529" s="714"/>
      <c r="DQ529" s="714"/>
      <c r="DR529" s="714"/>
      <c r="DS529" s="714"/>
      <c r="DT529" s="714"/>
      <c r="DU529" s="714"/>
      <c r="DV529" s="714"/>
      <c r="DW529" s="714"/>
      <c r="DX529" s="714"/>
      <c r="DY529" s="714"/>
      <c r="DZ529" s="714"/>
      <c r="EA529" s="714"/>
      <c r="EB529" s="714"/>
      <c r="EC529" s="714"/>
      <c r="ED529" s="714"/>
      <c r="EE529" s="714"/>
      <c r="EF529" s="714"/>
      <c r="EG529" s="714"/>
      <c r="EH529" s="714"/>
      <c r="EI529" s="714"/>
      <c r="EJ529" s="714"/>
      <c r="EK529" s="714"/>
      <c r="EL529" s="714"/>
      <c r="EM529" s="714"/>
      <c r="EN529" s="714"/>
      <c r="EO529" s="714"/>
      <c r="EP529" s="714"/>
      <c r="EQ529" s="714"/>
      <c r="ER529" s="714"/>
      <c r="ES529" s="714"/>
      <c r="ET529" s="714"/>
      <c r="EU529" s="714"/>
      <c r="EV529" s="714"/>
      <c r="EW529" s="714"/>
      <c r="EX529" s="714"/>
      <c r="EY529" s="714"/>
      <c r="EZ529" s="714"/>
      <c r="FA529" s="714"/>
      <c r="FB529" s="714"/>
      <c r="FC529" s="714"/>
      <c r="FD529" s="714"/>
      <c r="FE529" s="714"/>
      <c r="FF529" s="714"/>
      <c r="FG529" s="714"/>
      <c r="FH529" s="714"/>
      <c r="FI529" s="714"/>
      <c r="FJ529" s="714"/>
      <c r="FK529" s="714"/>
      <c r="FL529" s="714"/>
      <c r="FM529" s="714"/>
      <c r="FN529" s="714"/>
      <c r="FO529" s="714"/>
      <c r="FP529" s="714"/>
      <c r="FQ529" s="714"/>
      <c r="FR529" s="714"/>
      <c r="FS529" s="714"/>
      <c r="FT529" s="714"/>
      <c r="FU529" s="714"/>
      <c r="FV529" s="714"/>
      <c r="FW529" s="714"/>
      <c r="FX529" s="714"/>
      <c r="FY529" s="714"/>
      <c r="FZ529" s="714"/>
      <c r="GA529" s="714"/>
      <c r="GB529" s="714"/>
    </row>
    <row r="530" spans="1:184" s="667" customFormat="1" ht="84" hidden="1" customHeight="1" x14ac:dyDescent="0.3">
      <c r="A530" s="653"/>
      <c r="B530" s="687"/>
      <c r="C530" s="789" t="s">
        <v>899</v>
      </c>
      <c r="D530" s="790"/>
      <c r="E530" s="790" t="s">
        <v>900</v>
      </c>
      <c r="F530" s="750" t="s">
        <v>109</v>
      </c>
      <c r="G530" s="791" t="s">
        <v>110</v>
      </c>
      <c r="H530" s="750" t="s">
        <v>901</v>
      </c>
      <c r="I530" s="750" t="s">
        <v>780</v>
      </c>
      <c r="J530" s="792">
        <v>0</v>
      </c>
      <c r="K530" s="792">
        <v>0</v>
      </c>
      <c r="L530" s="793">
        <v>0</v>
      </c>
      <c r="M530" s="793">
        <v>0</v>
      </c>
      <c r="N530" s="793">
        <v>0</v>
      </c>
      <c r="O530" s="793">
        <v>0</v>
      </c>
    </row>
    <row r="531" spans="1:184" s="667" customFormat="1" ht="84" hidden="1" customHeight="1" x14ac:dyDescent="0.3">
      <c r="A531" s="653"/>
      <c r="B531" s="715"/>
      <c r="C531" s="775"/>
      <c r="D531" s="776"/>
      <c r="E531" s="776"/>
      <c r="F531" s="752"/>
      <c r="G531" s="757"/>
      <c r="H531" s="752"/>
      <c r="I531" s="752"/>
      <c r="J531" s="761">
        <f t="shared" ref="J531:K531" si="126">J530</f>
        <v>0</v>
      </c>
      <c r="K531" s="761">
        <f t="shared" si="126"/>
        <v>0</v>
      </c>
      <c r="L531" s="794">
        <v>0</v>
      </c>
      <c r="M531" s="794">
        <f t="shared" ref="M531:O531" si="127">M530</f>
        <v>0</v>
      </c>
      <c r="N531" s="794">
        <f t="shared" si="127"/>
        <v>0</v>
      </c>
      <c r="O531" s="794">
        <f t="shared" si="127"/>
        <v>0</v>
      </c>
    </row>
    <row r="532" spans="1:184" s="667" customFormat="1" ht="42.75" customHeight="1" x14ac:dyDescent="0.3">
      <c r="A532" s="653"/>
      <c r="B532" s="716"/>
      <c r="C532" s="795" t="s">
        <v>902</v>
      </c>
      <c r="D532" s="796" t="s">
        <v>903</v>
      </c>
      <c r="E532" s="766" t="s">
        <v>904</v>
      </c>
      <c r="F532" s="757" t="s">
        <v>109</v>
      </c>
      <c r="G532" s="757" t="s">
        <v>110</v>
      </c>
      <c r="H532" s="757" t="s">
        <v>755</v>
      </c>
      <c r="I532" s="757" t="s">
        <v>780</v>
      </c>
      <c r="J532" s="797">
        <v>254.8</v>
      </c>
      <c r="K532" s="797">
        <v>254.8</v>
      </c>
      <c r="L532" s="797">
        <v>924.3</v>
      </c>
      <c r="M532" s="797">
        <v>341.5</v>
      </c>
      <c r="N532" s="797">
        <v>355.8</v>
      </c>
      <c r="O532" s="797">
        <v>370.4</v>
      </c>
    </row>
    <row r="533" spans="1:184" s="667" customFormat="1" ht="45.75" customHeight="1" x14ac:dyDescent="0.3">
      <c r="A533" s="653"/>
      <c r="B533" s="652" t="s">
        <v>905</v>
      </c>
      <c r="C533" s="764" t="s">
        <v>877</v>
      </c>
      <c r="D533" s="765" t="s">
        <v>906</v>
      </c>
      <c r="E533" s="766" t="s">
        <v>879</v>
      </c>
      <c r="F533" s="746" t="s">
        <v>109</v>
      </c>
      <c r="G533" s="746" t="s">
        <v>110</v>
      </c>
      <c r="H533" s="752" t="s">
        <v>786</v>
      </c>
      <c r="I533" s="746"/>
      <c r="J533" s="753">
        <f>J534+J535+J536+J537</f>
        <v>6015.4</v>
      </c>
      <c r="K533" s="753">
        <f t="shared" ref="K533:O533" si="128">K534+K535+K536+K537</f>
        <v>6015.4</v>
      </c>
      <c r="L533" s="753">
        <f t="shared" si="128"/>
        <v>6934</v>
      </c>
      <c r="M533" s="753">
        <f t="shared" si="128"/>
        <v>7654.3</v>
      </c>
      <c r="N533" s="753">
        <f t="shared" si="128"/>
        <v>7967.0999999999995</v>
      </c>
      <c r="O533" s="753">
        <f t="shared" si="128"/>
        <v>8288.2000000000007</v>
      </c>
      <c r="P533" s="668"/>
    </row>
    <row r="534" spans="1:184" s="667" customFormat="1" ht="33" customHeight="1" x14ac:dyDescent="0.3">
      <c r="A534" s="653"/>
      <c r="B534" s="654"/>
      <c r="C534" s="655" t="s">
        <v>907</v>
      </c>
      <c r="D534" s="689"/>
      <c r="E534" s="690" t="s">
        <v>873</v>
      </c>
      <c r="F534" s="658" t="s">
        <v>109</v>
      </c>
      <c r="G534" s="659" t="s">
        <v>110</v>
      </c>
      <c r="H534" s="658" t="s">
        <v>786</v>
      </c>
      <c r="I534" s="658" t="s">
        <v>780</v>
      </c>
      <c r="J534" s="660">
        <v>1114.0999999999999</v>
      </c>
      <c r="K534" s="660">
        <v>1114.0999999999999</v>
      </c>
      <c r="L534" s="660">
        <v>1699.6</v>
      </c>
      <c r="M534" s="660">
        <v>2724.7</v>
      </c>
      <c r="N534" s="660">
        <v>2751.7</v>
      </c>
      <c r="O534" s="660">
        <v>2831</v>
      </c>
    </row>
    <row r="535" spans="1:184" s="667" customFormat="1" ht="33" customHeight="1" x14ac:dyDescent="0.3">
      <c r="A535" s="653"/>
      <c r="B535" s="654"/>
      <c r="C535" s="662"/>
      <c r="D535" s="691"/>
      <c r="E535" s="692"/>
      <c r="F535" s="679" t="s">
        <v>109</v>
      </c>
      <c r="G535" s="693" t="s">
        <v>110</v>
      </c>
      <c r="H535" s="679" t="s">
        <v>786</v>
      </c>
      <c r="I535" s="679" t="s">
        <v>869</v>
      </c>
      <c r="J535" s="694">
        <v>817.9</v>
      </c>
      <c r="K535" s="694">
        <v>817.9</v>
      </c>
      <c r="L535" s="694">
        <v>758.4</v>
      </c>
      <c r="M535" s="694">
        <v>300</v>
      </c>
      <c r="N535" s="694">
        <v>400</v>
      </c>
      <c r="O535" s="694">
        <v>450</v>
      </c>
    </row>
    <row r="536" spans="1:184" s="667" customFormat="1" ht="33" customHeight="1" x14ac:dyDescent="0.3">
      <c r="A536" s="653"/>
      <c r="B536" s="654"/>
      <c r="C536" s="717" t="s">
        <v>821</v>
      </c>
      <c r="D536" s="718"/>
      <c r="E536" s="719"/>
      <c r="F536" s="679" t="s">
        <v>109</v>
      </c>
      <c r="G536" s="693" t="s">
        <v>110</v>
      </c>
      <c r="H536" s="679" t="s">
        <v>908</v>
      </c>
      <c r="I536" s="679" t="s">
        <v>780</v>
      </c>
      <c r="J536" s="694">
        <v>4083.4</v>
      </c>
      <c r="K536" s="694">
        <v>4083.4</v>
      </c>
      <c r="L536" s="694">
        <v>4420</v>
      </c>
      <c r="M536" s="694">
        <v>4629.6000000000004</v>
      </c>
      <c r="N536" s="694">
        <v>4815.3999999999996</v>
      </c>
      <c r="O536" s="694">
        <v>5007.2</v>
      </c>
    </row>
    <row r="537" spans="1:184" s="667" customFormat="1" ht="33" customHeight="1" x14ac:dyDescent="0.3">
      <c r="A537" s="653"/>
      <c r="B537" s="687"/>
      <c r="C537" s="717" t="s">
        <v>821</v>
      </c>
      <c r="D537" s="718"/>
      <c r="E537" s="719"/>
      <c r="F537" s="679" t="s">
        <v>109</v>
      </c>
      <c r="G537" s="693" t="s">
        <v>110</v>
      </c>
      <c r="H537" s="679" t="s">
        <v>909</v>
      </c>
      <c r="I537" s="679" t="s">
        <v>780</v>
      </c>
      <c r="J537" s="694">
        <v>0</v>
      </c>
      <c r="K537" s="694">
        <v>0</v>
      </c>
      <c r="L537" s="694">
        <v>56</v>
      </c>
      <c r="M537" s="694">
        <v>0</v>
      </c>
      <c r="N537" s="694">
        <v>0</v>
      </c>
      <c r="O537" s="694">
        <v>0</v>
      </c>
    </row>
    <row r="538" spans="1:184" s="667" customFormat="1" ht="33" customHeight="1" x14ac:dyDescent="0.3">
      <c r="A538" s="653"/>
      <c r="B538" s="652" t="s">
        <v>870</v>
      </c>
      <c r="C538" s="764"/>
      <c r="D538" s="765"/>
      <c r="E538" s="766"/>
      <c r="F538" s="746" t="s">
        <v>109</v>
      </c>
      <c r="G538" s="746" t="s">
        <v>110</v>
      </c>
      <c r="H538" s="752" t="s">
        <v>871</v>
      </c>
      <c r="I538" s="746"/>
      <c r="J538" s="753">
        <f>J539+J540</f>
        <v>0</v>
      </c>
      <c r="K538" s="753">
        <f t="shared" ref="K538:O538" si="129">K539+K540</f>
        <v>0</v>
      </c>
      <c r="L538" s="753">
        <f t="shared" si="129"/>
        <v>0</v>
      </c>
      <c r="M538" s="753">
        <f t="shared" si="129"/>
        <v>897</v>
      </c>
      <c r="N538" s="753">
        <f t="shared" si="129"/>
        <v>934.7</v>
      </c>
      <c r="O538" s="753">
        <f t="shared" si="129"/>
        <v>973</v>
      </c>
    </row>
    <row r="539" spans="1:184" s="667" customFormat="1" ht="33" customHeight="1" x14ac:dyDescent="0.3">
      <c r="A539" s="653"/>
      <c r="B539" s="654"/>
      <c r="C539" s="785" t="s">
        <v>910</v>
      </c>
      <c r="D539" s="767"/>
      <c r="E539" s="768" t="s">
        <v>873</v>
      </c>
      <c r="F539" s="752" t="s">
        <v>109</v>
      </c>
      <c r="G539" s="757" t="s">
        <v>110</v>
      </c>
      <c r="H539" s="752" t="s">
        <v>871</v>
      </c>
      <c r="I539" s="752" t="s">
        <v>874</v>
      </c>
      <c r="J539" s="761">
        <v>0</v>
      </c>
      <c r="K539" s="761">
        <v>0</v>
      </c>
      <c r="L539" s="761">
        <v>0</v>
      </c>
      <c r="M539" s="761">
        <v>490</v>
      </c>
      <c r="N539" s="761">
        <v>514.1</v>
      </c>
      <c r="O539" s="761">
        <v>533.29999999999995</v>
      </c>
    </row>
    <row r="540" spans="1:184" s="667" customFormat="1" ht="33" customHeight="1" x14ac:dyDescent="0.3">
      <c r="A540" s="653"/>
      <c r="B540" s="687"/>
      <c r="C540" s="786"/>
      <c r="D540" s="769"/>
      <c r="E540" s="770"/>
      <c r="F540" s="771" t="s">
        <v>109</v>
      </c>
      <c r="G540" s="772" t="s">
        <v>110</v>
      </c>
      <c r="H540" s="752" t="s">
        <v>871</v>
      </c>
      <c r="I540" s="771" t="s">
        <v>875</v>
      </c>
      <c r="J540" s="773">
        <v>0</v>
      </c>
      <c r="K540" s="773">
        <v>0</v>
      </c>
      <c r="L540" s="773">
        <v>0</v>
      </c>
      <c r="M540" s="773">
        <v>407</v>
      </c>
      <c r="N540" s="773">
        <v>420.6</v>
      </c>
      <c r="O540" s="773">
        <v>439.7</v>
      </c>
    </row>
    <row r="541" spans="1:184" s="667" customFormat="1" ht="30.75" customHeight="1" x14ac:dyDescent="0.3">
      <c r="A541" s="653"/>
      <c r="B541" s="720" t="s">
        <v>911</v>
      </c>
      <c r="C541" s="782"/>
      <c r="D541" s="783"/>
      <c r="E541" s="783"/>
      <c r="F541" s="784">
        <v>10</v>
      </c>
      <c r="G541" s="746" t="s">
        <v>72</v>
      </c>
      <c r="H541" s="783"/>
      <c r="I541" s="783"/>
      <c r="J541" s="747">
        <f>SUM(J542:J561)</f>
        <v>122446.20000000003</v>
      </c>
      <c r="K541" s="747">
        <f t="shared" ref="K541:O541" si="130">SUM(K542:K561)</f>
        <v>119540.90000000001</v>
      </c>
      <c r="L541" s="747">
        <f t="shared" si="130"/>
        <v>123979.29999999999</v>
      </c>
      <c r="M541" s="747">
        <f t="shared" si="130"/>
        <v>21444.9</v>
      </c>
      <c r="N541" s="747">
        <f t="shared" si="130"/>
        <v>20804.3</v>
      </c>
      <c r="O541" s="747">
        <f t="shared" si="130"/>
        <v>21038.799999999999</v>
      </c>
    </row>
    <row r="542" spans="1:184" s="667" customFormat="1" ht="40.5" customHeight="1" x14ac:dyDescent="0.3">
      <c r="A542" s="653"/>
      <c r="B542" s="721"/>
      <c r="C542" s="722" t="s">
        <v>845</v>
      </c>
      <c r="D542" s="723"/>
      <c r="E542" s="723"/>
      <c r="F542" s="724" t="s">
        <v>220</v>
      </c>
      <c r="G542" s="725" t="s">
        <v>72</v>
      </c>
      <c r="H542" s="724" t="s">
        <v>846</v>
      </c>
      <c r="I542" s="724" t="s">
        <v>83</v>
      </c>
      <c r="J542" s="726">
        <f>2652.4+2020.1</f>
        <v>4672.5</v>
      </c>
      <c r="K542" s="726">
        <f>2652.4+2020.1</f>
        <v>4672.5</v>
      </c>
      <c r="L542" s="660">
        <v>6147.7</v>
      </c>
      <c r="M542" s="660">
        <v>7511.1</v>
      </c>
      <c r="N542" s="660">
        <v>6820.5</v>
      </c>
      <c r="O542" s="660">
        <v>6981.3</v>
      </c>
    </row>
    <row r="543" spans="1:184" s="667" customFormat="1" ht="15.75" customHeight="1" x14ac:dyDescent="0.3">
      <c r="A543" s="653"/>
      <c r="B543" s="721"/>
      <c r="C543" s="727" t="s">
        <v>880</v>
      </c>
      <c r="D543" s="728"/>
      <c r="E543" s="728"/>
      <c r="F543" s="724" t="s">
        <v>220</v>
      </c>
      <c r="G543" s="725" t="s">
        <v>72</v>
      </c>
      <c r="H543" s="724" t="s">
        <v>854</v>
      </c>
      <c r="I543" s="724" t="s">
        <v>31</v>
      </c>
      <c r="J543" s="726">
        <v>80</v>
      </c>
      <c r="K543" s="726">
        <v>75.7</v>
      </c>
      <c r="L543" s="660">
        <v>50.2</v>
      </c>
      <c r="M543" s="660">
        <v>0</v>
      </c>
      <c r="N543" s="660">
        <v>0</v>
      </c>
      <c r="O543" s="660">
        <v>0</v>
      </c>
    </row>
    <row r="544" spans="1:184" s="667" customFormat="1" ht="30.75" customHeight="1" x14ac:dyDescent="0.3">
      <c r="A544" s="729"/>
      <c r="B544" s="721"/>
      <c r="C544" s="727"/>
      <c r="D544" s="730"/>
      <c r="E544" s="730"/>
      <c r="F544" s="724" t="s">
        <v>220</v>
      </c>
      <c r="G544" s="725" t="s">
        <v>72</v>
      </c>
      <c r="H544" s="724" t="s">
        <v>854</v>
      </c>
      <c r="I544" s="724" t="s">
        <v>83</v>
      </c>
      <c r="J544" s="726">
        <v>525.70000000000005</v>
      </c>
      <c r="K544" s="726">
        <v>525.70000000000005</v>
      </c>
      <c r="L544" s="660">
        <v>454.6</v>
      </c>
      <c r="M544" s="660">
        <v>299.5</v>
      </c>
      <c r="N544" s="660">
        <v>299.5</v>
      </c>
      <c r="O544" s="660">
        <v>323.2</v>
      </c>
    </row>
    <row r="545" spans="1:15" s="667" customFormat="1" ht="54" customHeight="1" x14ac:dyDescent="0.3">
      <c r="A545" s="651"/>
      <c r="B545" s="721"/>
      <c r="C545" s="717" t="s">
        <v>821</v>
      </c>
      <c r="D545" s="731"/>
      <c r="E545" s="731"/>
      <c r="F545" s="724" t="s">
        <v>220</v>
      </c>
      <c r="G545" s="725" t="s">
        <v>72</v>
      </c>
      <c r="H545" s="724" t="s">
        <v>832</v>
      </c>
      <c r="I545" s="724" t="s">
        <v>83</v>
      </c>
      <c r="J545" s="726">
        <v>630</v>
      </c>
      <c r="K545" s="726">
        <v>630</v>
      </c>
      <c r="L545" s="660">
        <v>666</v>
      </c>
      <c r="M545" s="660">
        <v>800</v>
      </c>
      <c r="N545" s="660">
        <v>850</v>
      </c>
      <c r="O545" s="660">
        <v>900</v>
      </c>
    </row>
    <row r="546" spans="1:15" s="667" customFormat="1" ht="15.75" customHeight="1" x14ac:dyDescent="0.3">
      <c r="A546" s="653"/>
      <c r="B546" s="721"/>
      <c r="C546" s="732" t="s">
        <v>912</v>
      </c>
      <c r="D546" s="731"/>
      <c r="E546" s="731"/>
      <c r="F546" s="724" t="s">
        <v>220</v>
      </c>
      <c r="G546" s="725" t="s">
        <v>72</v>
      </c>
      <c r="H546" s="724" t="s">
        <v>913</v>
      </c>
      <c r="I546" s="724" t="s">
        <v>31</v>
      </c>
      <c r="J546" s="726">
        <v>626</v>
      </c>
      <c r="K546" s="726">
        <v>584.70000000000005</v>
      </c>
      <c r="L546" s="660">
        <v>0</v>
      </c>
      <c r="M546" s="660">
        <v>0</v>
      </c>
      <c r="N546" s="660">
        <v>0</v>
      </c>
      <c r="O546" s="660">
        <v>0</v>
      </c>
    </row>
    <row r="547" spans="1:15" s="667" customFormat="1" ht="15.75" customHeight="1" x14ac:dyDescent="0.3">
      <c r="A547" s="653"/>
      <c r="B547" s="721"/>
      <c r="C547" s="733"/>
      <c r="D547" s="731"/>
      <c r="E547" s="731"/>
      <c r="F547" s="724" t="s">
        <v>220</v>
      </c>
      <c r="G547" s="725" t="s">
        <v>72</v>
      </c>
      <c r="H547" s="724" t="s">
        <v>913</v>
      </c>
      <c r="I547" s="724" t="s">
        <v>83</v>
      </c>
      <c r="J547" s="726">
        <f>37924.9+21780</f>
        <v>59704.9</v>
      </c>
      <c r="K547" s="726">
        <f>36475.8+21713.5</f>
        <v>58189.3</v>
      </c>
      <c r="L547" s="660">
        <v>0</v>
      </c>
      <c r="M547" s="660">
        <v>0</v>
      </c>
      <c r="N547" s="660">
        <v>0</v>
      </c>
      <c r="O547" s="660">
        <v>0</v>
      </c>
    </row>
    <row r="548" spans="1:15" s="667" customFormat="1" ht="15.75" customHeight="1" x14ac:dyDescent="0.3">
      <c r="A548" s="653"/>
      <c r="B548" s="721"/>
      <c r="C548" s="733"/>
      <c r="D548" s="731"/>
      <c r="E548" s="731"/>
      <c r="F548" s="724" t="s">
        <v>220</v>
      </c>
      <c r="G548" s="725" t="s">
        <v>72</v>
      </c>
      <c r="H548" s="724" t="s">
        <v>914</v>
      </c>
      <c r="I548" s="724" t="s">
        <v>31</v>
      </c>
      <c r="J548" s="726">
        <v>273.5</v>
      </c>
      <c r="K548" s="726">
        <v>273.5</v>
      </c>
      <c r="L548" s="660">
        <v>0</v>
      </c>
      <c r="M548" s="660">
        <v>0</v>
      </c>
      <c r="N548" s="660">
        <v>0</v>
      </c>
      <c r="O548" s="660">
        <v>0</v>
      </c>
    </row>
    <row r="549" spans="1:15" s="667" customFormat="1" ht="15.75" customHeight="1" x14ac:dyDescent="0.3">
      <c r="A549" s="653"/>
      <c r="B549" s="721"/>
      <c r="C549" s="733"/>
      <c r="D549" s="731"/>
      <c r="E549" s="731"/>
      <c r="F549" s="724" t="s">
        <v>220</v>
      </c>
      <c r="G549" s="725" t="s">
        <v>72</v>
      </c>
      <c r="H549" s="724" t="s">
        <v>914</v>
      </c>
      <c r="I549" s="724" t="s">
        <v>482</v>
      </c>
      <c r="J549" s="726">
        <v>41439</v>
      </c>
      <c r="K549" s="726">
        <v>41439</v>
      </c>
      <c r="L549" s="660">
        <v>0</v>
      </c>
      <c r="M549" s="660">
        <v>0</v>
      </c>
      <c r="N549" s="660">
        <v>0</v>
      </c>
      <c r="O549" s="660">
        <v>0</v>
      </c>
    </row>
    <row r="550" spans="1:15" s="667" customFormat="1" ht="15.75" customHeight="1" x14ac:dyDescent="0.3">
      <c r="A550" s="653"/>
      <c r="B550" s="721"/>
      <c r="C550" s="733"/>
      <c r="D550" s="731"/>
      <c r="E550" s="731"/>
      <c r="F550" s="724" t="s">
        <v>220</v>
      </c>
      <c r="G550" s="725" t="s">
        <v>72</v>
      </c>
      <c r="H550" s="724" t="s">
        <v>915</v>
      </c>
      <c r="I550" s="724" t="s">
        <v>31</v>
      </c>
      <c r="J550" s="726">
        <v>16</v>
      </c>
      <c r="K550" s="726">
        <v>5.7</v>
      </c>
      <c r="L550" s="660">
        <v>0</v>
      </c>
      <c r="M550" s="660">
        <v>0</v>
      </c>
      <c r="N550" s="660">
        <v>0</v>
      </c>
      <c r="O550" s="660">
        <v>0</v>
      </c>
    </row>
    <row r="551" spans="1:15" s="667" customFormat="1" ht="15.75" customHeight="1" x14ac:dyDescent="0.3">
      <c r="A551" s="653"/>
      <c r="B551" s="721"/>
      <c r="C551" s="733"/>
      <c r="D551" s="731"/>
      <c r="E551" s="731"/>
      <c r="F551" s="724" t="s">
        <v>220</v>
      </c>
      <c r="G551" s="725" t="s">
        <v>72</v>
      </c>
      <c r="H551" s="724" t="s">
        <v>916</v>
      </c>
      <c r="I551" s="724" t="s">
        <v>83</v>
      </c>
      <c r="J551" s="726">
        <v>787.3</v>
      </c>
      <c r="K551" s="726">
        <v>300.10000000000002</v>
      </c>
      <c r="L551" s="660">
        <v>0</v>
      </c>
      <c r="M551" s="660">
        <v>0</v>
      </c>
      <c r="N551" s="660">
        <v>0</v>
      </c>
      <c r="O551" s="660">
        <v>0</v>
      </c>
    </row>
    <row r="552" spans="1:15" s="667" customFormat="1" ht="15.75" customHeight="1" x14ac:dyDescent="0.3">
      <c r="A552" s="653"/>
      <c r="B552" s="721"/>
      <c r="C552" s="733"/>
      <c r="D552" s="731"/>
      <c r="E552" s="731"/>
      <c r="F552" s="724" t="s">
        <v>220</v>
      </c>
      <c r="G552" s="725" t="s">
        <v>72</v>
      </c>
      <c r="H552" s="724" t="s">
        <v>917</v>
      </c>
      <c r="I552" s="724" t="s">
        <v>31</v>
      </c>
      <c r="J552" s="726">
        <v>12.8</v>
      </c>
      <c r="K552" s="726">
        <v>3</v>
      </c>
      <c r="L552" s="660">
        <v>0</v>
      </c>
      <c r="M552" s="660">
        <v>0</v>
      </c>
      <c r="N552" s="660">
        <v>0</v>
      </c>
      <c r="O552" s="660">
        <v>0</v>
      </c>
    </row>
    <row r="553" spans="1:15" s="667" customFormat="1" ht="15.75" customHeight="1" x14ac:dyDescent="0.3">
      <c r="A553" s="653"/>
      <c r="B553" s="721"/>
      <c r="C553" s="734"/>
      <c r="D553" s="731"/>
      <c r="E553" s="731"/>
      <c r="F553" s="724" t="s">
        <v>220</v>
      </c>
      <c r="G553" s="725" t="s">
        <v>72</v>
      </c>
      <c r="H553" s="724" t="s">
        <v>917</v>
      </c>
      <c r="I553" s="724" t="s">
        <v>482</v>
      </c>
      <c r="J553" s="726">
        <v>1276.3</v>
      </c>
      <c r="K553" s="726">
        <v>439.5</v>
      </c>
      <c r="L553" s="660">
        <v>0</v>
      </c>
      <c r="M553" s="660">
        <v>0</v>
      </c>
      <c r="N553" s="660">
        <v>0</v>
      </c>
      <c r="O553" s="660">
        <v>0</v>
      </c>
    </row>
    <row r="554" spans="1:15" s="667" customFormat="1" ht="24.75" customHeight="1" x14ac:dyDescent="0.3">
      <c r="A554" s="653"/>
      <c r="B554" s="721"/>
      <c r="C554" s="670" t="s">
        <v>821</v>
      </c>
      <c r="D554" s="731"/>
      <c r="E554" s="731"/>
      <c r="F554" s="724" t="s">
        <v>220</v>
      </c>
      <c r="G554" s="725" t="s">
        <v>72</v>
      </c>
      <c r="H554" s="724" t="s">
        <v>918</v>
      </c>
      <c r="I554" s="724" t="s">
        <v>31</v>
      </c>
      <c r="J554" s="726">
        <v>7.6</v>
      </c>
      <c r="K554" s="726">
        <v>7.6</v>
      </c>
      <c r="L554" s="660">
        <v>0</v>
      </c>
      <c r="M554" s="660">
        <v>128.30000000000001</v>
      </c>
      <c r="N554" s="660">
        <v>128.30000000000001</v>
      </c>
      <c r="O554" s="660">
        <v>128.30000000000001</v>
      </c>
    </row>
    <row r="555" spans="1:15" s="667" customFormat="1" ht="22.5" customHeight="1" x14ac:dyDescent="0.3">
      <c r="A555" s="653"/>
      <c r="B555" s="721"/>
      <c r="C555" s="672"/>
      <c r="D555" s="731"/>
      <c r="E555" s="731"/>
      <c r="F555" s="724" t="s">
        <v>220</v>
      </c>
      <c r="G555" s="725" t="s">
        <v>72</v>
      </c>
      <c r="H555" s="724" t="s">
        <v>918</v>
      </c>
      <c r="I555" s="724" t="s">
        <v>476</v>
      </c>
      <c r="J555" s="726">
        <v>12394.6</v>
      </c>
      <c r="K555" s="726">
        <v>12394.6</v>
      </c>
      <c r="L555" s="660">
        <v>13916.9</v>
      </c>
      <c r="M555" s="660">
        <v>12706</v>
      </c>
      <c r="N555" s="660">
        <v>12706</v>
      </c>
      <c r="O555" s="660">
        <v>12706</v>
      </c>
    </row>
    <row r="556" spans="1:15" s="667" customFormat="1" ht="15.75" customHeight="1" x14ac:dyDescent="0.3">
      <c r="A556" s="653"/>
      <c r="B556" s="721"/>
      <c r="C556" s="735" t="s">
        <v>919</v>
      </c>
      <c r="D556" s="731"/>
      <c r="E556" s="731"/>
      <c r="F556" s="724" t="s">
        <v>220</v>
      </c>
      <c r="G556" s="725" t="s">
        <v>72</v>
      </c>
      <c r="H556" s="724" t="s">
        <v>920</v>
      </c>
      <c r="I556" s="724" t="s">
        <v>31</v>
      </c>
      <c r="J556" s="726">
        <v>0</v>
      </c>
      <c r="K556" s="726">
        <v>0</v>
      </c>
      <c r="L556" s="660">
        <f>627.2+3.5</f>
        <v>630.70000000000005</v>
      </c>
      <c r="M556" s="660">
        <v>0</v>
      </c>
      <c r="N556" s="660">
        <v>0</v>
      </c>
      <c r="O556" s="660">
        <v>0</v>
      </c>
    </row>
    <row r="557" spans="1:15" s="667" customFormat="1" ht="15.75" customHeight="1" x14ac:dyDescent="0.3">
      <c r="A557" s="653"/>
      <c r="B557" s="721"/>
      <c r="C557" s="736"/>
      <c r="D557" s="731"/>
      <c r="E557" s="731"/>
      <c r="F557" s="724" t="s">
        <v>220</v>
      </c>
      <c r="G557" s="725" t="s">
        <v>72</v>
      </c>
      <c r="H557" s="724" t="s">
        <v>920</v>
      </c>
      <c r="I557" s="724" t="s">
        <v>83</v>
      </c>
      <c r="J557" s="726">
        <v>0</v>
      </c>
      <c r="K557" s="726">
        <v>0</v>
      </c>
      <c r="L557" s="660">
        <f>34953.1+22528.9+75.1</f>
        <v>57557.1</v>
      </c>
      <c r="M557" s="660">
        <v>0</v>
      </c>
      <c r="N557" s="660">
        <v>0</v>
      </c>
      <c r="O557" s="660">
        <v>0</v>
      </c>
    </row>
    <row r="558" spans="1:15" s="667" customFormat="1" ht="15.75" customHeight="1" x14ac:dyDescent="0.3">
      <c r="A558" s="653"/>
      <c r="B558" s="721"/>
      <c r="C558" s="736"/>
      <c r="D558" s="731"/>
      <c r="E558" s="731"/>
      <c r="F558" s="724" t="s">
        <v>220</v>
      </c>
      <c r="G558" s="725" t="s">
        <v>72</v>
      </c>
      <c r="H558" s="724" t="s">
        <v>921</v>
      </c>
      <c r="I558" s="724" t="s">
        <v>31</v>
      </c>
      <c r="J558" s="726">
        <v>0</v>
      </c>
      <c r="K558" s="726">
        <v>0</v>
      </c>
      <c r="L558" s="660">
        <v>466.8</v>
      </c>
      <c r="M558" s="660">
        <v>0</v>
      </c>
      <c r="N558" s="660">
        <v>0</v>
      </c>
      <c r="O558" s="660">
        <v>0</v>
      </c>
    </row>
    <row r="559" spans="1:15" s="667" customFormat="1" ht="15.75" customHeight="1" x14ac:dyDescent="0.3">
      <c r="A559" s="653"/>
      <c r="B559" s="721"/>
      <c r="C559" s="736"/>
      <c r="D559" s="731"/>
      <c r="E559" s="731"/>
      <c r="F559" s="724" t="s">
        <v>220</v>
      </c>
      <c r="G559" s="725" t="s">
        <v>72</v>
      </c>
      <c r="H559" s="724" t="s">
        <v>921</v>
      </c>
      <c r="I559" s="724" t="s">
        <v>482</v>
      </c>
      <c r="J559" s="726">
        <v>0</v>
      </c>
      <c r="K559" s="726">
        <v>0</v>
      </c>
      <c r="L559" s="660">
        <v>44011.4</v>
      </c>
      <c r="M559" s="660">
        <v>0</v>
      </c>
      <c r="N559" s="660">
        <v>0</v>
      </c>
      <c r="O559" s="660">
        <v>0</v>
      </c>
    </row>
    <row r="560" spans="1:15" s="667" customFormat="1" ht="15.75" customHeight="1" x14ac:dyDescent="0.3">
      <c r="A560" s="653"/>
      <c r="B560" s="721"/>
      <c r="C560" s="736"/>
      <c r="D560" s="731"/>
      <c r="E560" s="731"/>
      <c r="F560" s="724" t="s">
        <v>220</v>
      </c>
      <c r="G560" s="725" t="s">
        <v>72</v>
      </c>
      <c r="H560" s="724" t="s">
        <v>922</v>
      </c>
      <c r="I560" s="724" t="s">
        <v>31</v>
      </c>
      <c r="J560" s="726">
        <v>0</v>
      </c>
      <c r="K560" s="726">
        <v>0</v>
      </c>
      <c r="L560" s="660">
        <v>3.7</v>
      </c>
      <c r="M560" s="660">
        <v>0</v>
      </c>
      <c r="N560" s="660">
        <v>0</v>
      </c>
      <c r="O560" s="660">
        <v>0</v>
      </c>
    </row>
    <row r="561" spans="1:16" s="667" customFormat="1" ht="15.75" customHeight="1" x14ac:dyDescent="0.3">
      <c r="A561" s="729"/>
      <c r="B561" s="737"/>
      <c r="C561" s="738"/>
      <c r="D561" s="731"/>
      <c r="E561" s="731"/>
      <c r="F561" s="724" t="s">
        <v>220</v>
      </c>
      <c r="G561" s="725" t="s">
        <v>72</v>
      </c>
      <c r="H561" s="724" t="s">
        <v>922</v>
      </c>
      <c r="I561" s="724" t="s">
        <v>482</v>
      </c>
      <c r="J561" s="726">
        <v>0</v>
      </c>
      <c r="K561" s="726">
        <v>0</v>
      </c>
      <c r="L561" s="660">
        <v>74.2</v>
      </c>
      <c r="M561" s="660">
        <v>0</v>
      </c>
      <c r="N561" s="660">
        <v>0</v>
      </c>
      <c r="O561" s="660">
        <v>0</v>
      </c>
    </row>
    <row r="562" spans="1:16" s="667" customFormat="1" ht="18.75" customHeight="1" x14ac:dyDescent="0.3">
      <c r="A562" s="739"/>
      <c r="B562" s="740" t="s">
        <v>923</v>
      </c>
      <c r="C562" s="782"/>
      <c r="D562" s="783"/>
      <c r="E562" s="783"/>
      <c r="F562" s="784">
        <v>11</v>
      </c>
      <c r="G562" s="746" t="s">
        <v>20</v>
      </c>
      <c r="H562" s="783"/>
      <c r="I562" s="783"/>
      <c r="J562" s="747">
        <f>J563+J566</f>
        <v>0</v>
      </c>
      <c r="K562" s="747">
        <f>K563+K566</f>
        <v>0</v>
      </c>
      <c r="L562" s="747">
        <f>L563+L566</f>
        <v>74042.899999999994</v>
      </c>
      <c r="M562" s="747">
        <f t="shared" ref="M562:O562" si="131">M563+M566</f>
        <v>79236.599999999991</v>
      </c>
      <c r="N562" s="747">
        <f t="shared" si="131"/>
        <v>72267.900000000009</v>
      </c>
      <c r="O562" s="747">
        <f t="shared" si="131"/>
        <v>72406.3</v>
      </c>
    </row>
    <row r="563" spans="1:16" s="667" customFormat="1" ht="18.75" customHeight="1" x14ac:dyDescent="0.3">
      <c r="A563" s="739"/>
      <c r="B563" s="740"/>
      <c r="C563" s="741"/>
      <c r="D563" s="742"/>
      <c r="E563" s="742"/>
      <c r="F563" s="743"/>
      <c r="G563" s="743"/>
      <c r="H563" s="743"/>
      <c r="I563" s="743"/>
      <c r="J563" s="744">
        <f t="shared" ref="J563:O563" si="132">SUM(J564:J565)</f>
        <v>0</v>
      </c>
      <c r="K563" s="744">
        <f t="shared" si="132"/>
        <v>0</v>
      </c>
      <c r="L563" s="744">
        <f>SUM(L564:L565)</f>
        <v>73949.2</v>
      </c>
      <c r="M563" s="744">
        <f t="shared" si="132"/>
        <v>79142.799999999988</v>
      </c>
      <c r="N563" s="744">
        <f t="shared" si="132"/>
        <v>72174.100000000006</v>
      </c>
      <c r="O563" s="744">
        <f t="shared" si="132"/>
        <v>72312.5</v>
      </c>
    </row>
    <row r="564" spans="1:16" s="667" customFormat="1" ht="31.5" customHeight="1" x14ac:dyDescent="0.3">
      <c r="A564" s="739"/>
      <c r="B564" s="740"/>
      <c r="C564" s="736" t="s">
        <v>858</v>
      </c>
      <c r="D564" s="742"/>
      <c r="E564" s="742"/>
      <c r="F564" s="724" t="s">
        <v>124</v>
      </c>
      <c r="G564" s="725" t="s">
        <v>20</v>
      </c>
      <c r="H564" s="724" t="s">
        <v>857</v>
      </c>
      <c r="I564" s="724" t="s">
        <v>860</v>
      </c>
      <c r="J564" s="726">
        <v>0</v>
      </c>
      <c r="K564" s="726">
        <v>0</v>
      </c>
      <c r="L564" s="660">
        <v>33895.1</v>
      </c>
      <c r="M564" s="660">
        <f>36123200/1000</f>
        <v>36123.199999999997</v>
      </c>
      <c r="N564" s="660">
        <f>32528700/1000</f>
        <v>32528.7</v>
      </c>
      <c r="O564" s="660">
        <f>32597900/1000</f>
        <v>32597.9</v>
      </c>
    </row>
    <row r="565" spans="1:16" s="667" customFormat="1" ht="39" customHeight="1" x14ac:dyDescent="0.3">
      <c r="A565" s="739"/>
      <c r="B565" s="740"/>
      <c r="C565" s="738"/>
      <c r="D565" s="742"/>
      <c r="E565" s="742"/>
      <c r="F565" s="724" t="s">
        <v>124</v>
      </c>
      <c r="G565" s="725" t="s">
        <v>20</v>
      </c>
      <c r="H565" s="724" t="s">
        <v>857</v>
      </c>
      <c r="I565" s="724" t="s">
        <v>861</v>
      </c>
      <c r="J565" s="726">
        <v>0</v>
      </c>
      <c r="K565" s="726">
        <v>0</v>
      </c>
      <c r="L565" s="660">
        <v>40054.1</v>
      </c>
      <c r="M565" s="660">
        <f>43019600/1000</f>
        <v>43019.6</v>
      </c>
      <c r="N565" s="660">
        <f>39645400/1000</f>
        <v>39645.4</v>
      </c>
      <c r="O565" s="660">
        <f>39714600/1000</f>
        <v>39714.6</v>
      </c>
    </row>
    <row r="566" spans="1:16" s="667" customFormat="1" ht="60" customHeight="1" x14ac:dyDescent="0.3">
      <c r="A566" s="739"/>
      <c r="B566" s="740"/>
      <c r="C566" s="717" t="s">
        <v>821</v>
      </c>
      <c r="D566" s="742"/>
      <c r="E566" s="742"/>
      <c r="F566" s="724" t="s">
        <v>124</v>
      </c>
      <c r="G566" s="725" t="s">
        <v>20</v>
      </c>
      <c r="H566" s="724" t="s">
        <v>868</v>
      </c>
      <c r="I566" s="724" t="s">
        <v>780</v>
      </c>
      <c r="J566" s="726">
        <v>0</v>
      </c>
      <c r="K566" s="726">
        <v>0</v>
      </c>
      <c r="L566" s="660">
        <v>93.7</v>
      </c>
      <c r="M566" s="660">
        <v>93.8</v>
      </c>
      <c r="N566" s="660">
        <v>93.8</v>
      </c>
      <c r="O566" s="660">
        <v>93.8</v>
      </c>
    </row>
    <row r="567" spans="1:16" s="574" customFormat="1" ht="34.5" customHeight="1" x14ac:dyDescent="0.3">
      <c r="A567" s="571">
        <v>926</v>
      </c>
      <c r="B567" s="814" t="s">
        <v>924</v>
      </c>
      <c r="C567" s="815"/>
      <c r="D567" s="815"/>
      <c r="E567" s="815"/>
      <c r="F567" s="815"/>
      <c r="G567" s="815"/>
      <c r="H567" s="816"/>
      <c r="I567" s="572"/>
      <c r="J567" s="575">
        <f t="shared" ref="J567:O567" si="133">J568+J580</f>
        <v>142326.5</v>
      </c>
      <c r="K567" s="575">
        <f t="shared" si="133"/>
        <v>142326.5</v>
      </c>
      <c r="L567" s="575">
        <f t="shared" si="133"/>
        <v>201384.9</v>
      </c>
      <c r="M567" s="575">
        <f t="shared" si="133"/>
        <v>183860.3</v>
      </c>
      <c r="N567" s="575">
        <f t="shared" si="133"/>
        <v>181737.69999999998</v>
      </c>
      <c r="O567" s="575">
        <f t="shared" si="133"/>
        <v>182705.2</v>
      </c>
      <c r="P567" s="573"/>
    </row>
    <row r="568" spans="1:16" s="574" customFormat="1" ht="24" customHeight="1" x14ac:dyDescent="0.3">
      <c r="A568" s="622"/>
      <c r="B568" s="623" t="s">
        <v>773</v>
      </c>
      <c r="C568" s="9"/>
      <c r="D568" s="9"/>
      <c r="E568" s="8"/>
      <c r="F568" s="807" t="s">
        <v>774</v>
      </c>
      <c r="G568" s="808"/>
      <c r="H568" s="809"/>
      <c r="I568" s="810"/>
      <c r="J568" s="624">
        <f t="shared" ref="J568:O568" si="134">J569+J576</f>
        <v>73834.599999999991</v>
      </c>
      <c r="K568" s="624">
        <f t="shared" si="134"/>
        <v>73834.599999999991</v>
      </c>
      <c r="L568" s="624">
        <f t="shared" si="134"/>
        <v>112905.7</v>
      </c>
      <c r="M568" s="624">
        <f t="shared" si="134"/>
        <v>92554.200000000012</v>
      </c>
      <c r="N568" s="624">
        <f t="shared" si="134"/>
        <v>97916.2</v>
      </c>
      <c r="O568" s="624">
        <f t="shared" si="134"/>
        <v>98273.600000000006</v>
      </c>
    </row>
    <row r="569" spans="1:16" s="574" customFormat="1" ht="18.75" x14ac:dyDescent="0.3">
      <c r="A569" s="622">
        <v>926</v>
      </c>
      <c r="B569" s="625"/>
      <c r="C569" s="9"/>
      <c r="D569" s="9"/>
      <c r="E569" s="8"/>
      <c r="F569" s="626" t="s">
        <v>109</v>
      </c>
      <c r="G569" s="626" t="s">
        <v>20</v>
      </c>
      <c r="H569" s="810"/>
      <c r="I569" s="810"/>
      <c r="J569" s="624">
        <f>J570+J571+J573+J572+J574+J575</f>
        <v>73401.7</v>
      </c>
      <c r="K569" s="624">
        <f>K570+K571+K573+K572+K574+K575</f>
        <v>73401.7</v>
      </c>
      <c r="L569" s="624">
        <f>L570+L571+L573+L572+L574+L575</f>
        <v>112464.9</v>
      </c>
      <c r="M569" s="624">
        <f>M570+M571+M573+M575</f>
        <v>92101.400000000009</v>
      </c>
      <c r="N569" s="624">
        <f>N570+N571+N573+N575</f>
        <v>97521.2</v>
      </c>
      <c r="O569" s="624">
        <f>O570+O571+O573+O575</f>
        <v>97867.8</v>
      </c>
    </row>
    <row r="570" spans="1:16" s="574" customFormat="1" ht="34.5" customHeight="1" x14ac:dyDescent="0.35">
      <c r="A570" s="576"/>
      <c r="B570" s="577"/>
      <c r="C570" s="578" t="s">
        <v>775</v>
      </c>
      <c r="D570" s="579"/>
      <c r="E570" s="579"/>
      <c r="F570" s="580" t="s">
        <v>109</v>
      </c>
      <c r="G570" s="580" t="s">
        <v>20</v>
      </c>
      <c r="H570" s="580" t="s">
        <v>776</v>
      </c>
      <c r="I570" s="87" t="s">
        <v>777</v>
      </c>
      <c r="J570" s="581">
        <v>64023.4</v>
      </c>
      <c r="K570" s="581">
        <v>64023.4</v>
      </c>
      <c r="L570" s="581">
        <v>85841</v>
      </c>
      <c r="M570" s="581">
        <v>91590.8</v>
      </c>
      <c r="N570" s="581">
        <v>96990.2</v>
      </c>
      <c r="O570" s="581">
        <v>97315.6</v>
      </c>
    </row>
    <row r="571" spans="1:16" s="574" customFormat="1" ht="34.9" customHeight="1" x14ac:dyDescent="0.3">
      <c r="A571" s="576"/>
      <c r="B571" s="251"/>
      <c r="C571" s="582" t="s">
        <v>778</v>
      </c>
      <c r="D571" s="583"/>
      <c r="E571" s="583"/>
      <c r="F571" s="584" t="s">
        <v>109</v>
      </c>
      <c r="G571" s="580" t="s">
        <v>20</v>
      </c>
      <c r="H571" s="585" t="s">
        <v>779</v>
      </c>
      <c r="I571" s="584" t="s">
        <v>780</v>
      </c>
      <c r="J571" s="581">
        <v>1192.4000000000001</v>
      </c>
      <c r="K571" s="581">
        <v>1192.4000000000001</v>
      </c>
      <c r="L571" s="581">
        <v>1286.4000000000001</v>
      </c>
      <c r="M571" s="581">
        <v>0</v>
      </c>
      <c r="N571" s="581">
        <v>0</v>
      </c>
      <c r="O571" s="581">
        <v>0</v>
      </c>
    </row>
    <row r="572" spans="1:16" s="574" customFormat="1" ht="34.9" customHeight="1" x14ac:dyDescent="0.3">
      <c r="A572" s="576"/>
      <c r="B572" s="251"/>
      <c r="C572" s="586"/>
      <c r="D572" s="583"/>
      <c r="E572" s="583"/>
      <c r="F572" s="584"/>
      <c r="G572" s="580"/>
      <c r="H572" s="585"/>
      <c r="I572" s="584"/>
      <c r="J572" s="581">
        <v>7325</v>
      </c>
      <c r="K572" s="581">
        <v>7325</v>
      </c>
      <c r="L572" s="581">
        <v>7902.1</v>
      </c>
      <c r="M572" s="581"/>
      <c r="N572" s="581"/>
      <c r="O572" s="581"/>
    </row>
    <row r="573" spans="1:16" s="35" customFormat="1" ht="27.6" customHeight="1" x14ac:dyDescent="0.25">
      <c r="A573" s="587"/>
      <c r="B573" s="306"/>
      <c r="C573" s="588" t="s">
        <v>781</v>
      </c>
      <c r="D573" s="589"/>
      <c r="E573" s="589"/>
      <c r="F573" s="590" t="s">
        <v>109</v>
      </c>
      <c r="G573" s="591" t="s">
        <v>20</v>
      </c>
      <c r="H573" s="592" t="s">
        <v>782</v>
      </c>
      <c r="I573" s="590" t="s">
        <v>780</v>
      </c>
      <c r="J573" s="593">
        <v>0</v>
      </c>
      <c r="K573" s="593">
        <v>0</v>
      </c>
      <c r="L573" s="593">
        <v>2373</v>
      </c>
      <c r="M573" s="593">
        <v>0</v>
      </c>
      <c r="N573" s="593">
        <v>0</v>
      </c>
      <c r="O573" s="593">
        <v>0</v>
      </c>
    </row>
    <row r="574" spans="1:16" s="35" customFormat="1" ht="27.6" customHeight="1" x14ac:dyDescent="0.25">
      <c r="A574" s="587"/>
      <c r="B574" s="306"/>
      <c r="C574" s="594"/>
      <c r="D574" s="589"/>
      <c r="E574" s="589"/>
      <c r="F574" s="590" t="s">
        <v>109</v>
      </c>
      <c r="G574" s="591" t="s">
        <v>20</v>
      </c>
      <c r="H574" s="592" t="s">
        <v>782</v>
      </c>
      <c r="I574" s="590" t="s">
        <v>780</v>
      </c>
      <c r="J574" s="593">
        <v>0</v>
      </c>
      <c r="K574" s="593">
        <v>0</v>
      </c>
      <c r="L574" s="593">
        <v>14577</v>
      </c>
      <c r="M574" s="593">
        <v>0</v>
      </c>
      <c r="N574" s="593">
        <v>0</v>
      </c>
      <c r="O574" s="593">
        <v>0</v>
      </c>
    </row>
    <row r="575" spans="1:16" s="574" customFormat="1" ht="34.15" customHeight="1" x14ac:dyDescent="0.3">
      <c r="A575" s="576"/>
      <c r="B575" s="251"/>
      <c r="C575" s="595" t="s">
        <v>783</v>
      </c>
      <c r="D575" s="583"/>
      <c r="E575" s="583"/>
      <c r="F575" s="590" t="s">
        <v>109</v>
      </c>
      <c r="G575" s="591" t="s">
        <v>20</v>
      </c>
      <c r="H575" s="585" t="s">
        <v>784</v>
      </c>
      <c r="I575" s="584" t="s">
        <v>780</v>
      </c>
      <c r="J575" s="581">
        <v>860.9</v>
      </c>
      <c r="K575" s="581">
        <v>860.9</v>
      </c>
      <c r="L575" s="581">
        <v>485.4</v>
      </c>
      <c r="M575" s="581">
        <v>510.6</v>
      </c>
      <c r="N575" s="581">
        <v>531</v>
      </c>
      <c r="O575" s="581">
        <v>552.20000000000005</v>
      </c>
    </row>
    <row r="576" spans="1:16" s="574" customFormat="1" ht="21.75" customHeight="1" x14ac:dyDescent="0.25">
      <c r="A576" s="8"/>
      <c r="B576" s="598"/>
      <c r="C576" s="627"/>
      <c r="D576" s="9"/>
      <c r="E576" s="8"/>
      <c r="F576" s="626" t="s">
        <v>109</v>
      </c>
      <c r="G576" s="626" t="s">
        <v>110</v>
      </c>
      <c r="H576" s="580"/>
      <c r="I576" s="8"/>
      <c r="J576" s="628">
        <f t="shared" ref="J576:O576" si="135">J578+J577</f>
        <v>432.9</v>
      </c>
      <c r="K576" s="628">
        <f t="shared" si="135"/>
        <v>432.9</v>
      </c>
      <c r="L576" s="628">
        <f t="shared" si="135"/>
        <v>440.8</v>
      </c>
      <c r="M576" s="628">
        <f t="shared" si="135"/>
        <v>452.8</v>
      </c>
      <c r="N576" s="628">
        <f t="shared" si="135"/>
        <v>395</v>
      </c>
      <c r="O576" s="628">
        <f t="shared" si="135"/>
        <v>405.8</v>
      </c>
    </row>
    <row r="577" spans="1:15" s="574" customFormat="1" ht="27" customHeight="1" x14ac:dyDescent="0.2">
      <c r="A577" s="8"/>
      <c r="B577" s="598"/>
      <c r="C577" s="596" t="s">
        <v>785</v>
      </c>
      <c r="D577" s="9"/>
      <c r="E577" s="8"/>
      <c r="F577" s="629" t="s">
        <v>109</v>
      </c>
      <c r="G577" s="629" t="s">
        <v>110</v>
      </c>
      <c r="H577" s="580" t="s">
        <v>786</v>
      </c>
      <c r="I577" s="8">
        <v>612</v>
      </c>
      <c r="J577" s="597">
        <v>300.89999999999998</v>
      </c>
      <c r="K577" s="597">
        <v>300.89999999999998</v>
      </c>
      <c r="L577" s="597">
        <v>320.8</v>
      </c>
      <c r="M577" s="597">
        <v>320.8</v>
      </c>
      <c r="N577" s="597">
        <v>263</v>
      </c>
      <c r="O577" s="597">
        <v>273.8</v>
      </c>
    </row>
    <row r="578" spans="1:15" s="574" customFormat="1" ht="30.75" customHeight="1" x14ac:dyDescent="0.2">
      <c r="A578" s="8"/>
      <c r="B578" s="598"/>
      <c r="C578" s="630" t="s">
        <v>787</v>
      </c>
      <c r="D578" s="9"/>
      <c r="E578" s="8"/>
      <c r="F578" s="600" t="s">
        <v>109</v>
      </c>
      <c r="G578" s="600" t="s">
        <v>110</v>
      </c>
      <c r="H578" s="580" t="s">
        <v>788</v>
      </c>
      <c r="I578" s="8">
        <v>612</v>
      </c>
      <c r="J578" s="597">
        <v>132</v>
      </c>
      <c r="K578" s="597">
        <v>132</v>
      </c>
      <c r="L578" s="597">
        <v>120</v>
      </c>
      <c r="M578" s="597">
        <v>132</v>
      </c>
      <c r="N578" s="597">
        <v>132</v>
      </c>
      <c r="O578" s="597">
        <v>132</v>
      </c>
    </row>
    <row r="579" spans="1:15" s="19" customFormat="1" ht="31.5" customHeight="1" x14ac:dyDescent="0.25">
      <c r="A579" s="631" t="s">
        <v>789</v>
      </c>
      <c r="B579" s="631"/>
      <c r="C579" s="631"/>
      <c r="D579" s="631"/>
      <c r="E579" s="631"/>
      <c r="F579" s="631"/>
      <c r="G579" s="631"/>
      <c r="H579" s="631"/>
      <c r="I579" s="631"/>
      <c r="J579" s="631"/>
      <c r="K579" s="631"/>
      <c r="L579" s="631"/>
      <c r="M579" s="631"/>
      <c r="N579" s="631"/>
      <c r="O579" s="631"/>
    </row>
    <row r="580" spans="1:15" s="19" customFormat="1" ht="30.6" customHeight="1" x14ac:dyDescent="0.25">
      <c r="A580" s="632"/>
      <c r="B580" s="623" t="s">
        <v>773</v>
      </c>
      <c r="C580" s="632"/>
      <c r="D580" s="632"/>
      <c r="E580" s="632"/>
      <c r="F580" s="811" t="s">
        <v>122</v>
      </c>
      <c r="G580" s="632"/>
      <c r="H580" s="632"/>
      <c r="I580" s="632"/>
      <c r="J580" s="812">
        <f t="shared" ref="J580:O580" si="136">J581+J600</f>
        <v>68491.900000000009</v>
      </c>
      <c r="K580" s="812">
        <f t="shared" si="136"/>
        <v>68491.900000000009</v>
      </c>
      <c r="L580" s="812">
        <f t="shared" si="136"/>
        <v>88479.2</v>
      </c>
      <c r="M580" s="812">
        <f t="shared" si="136"/>
        <v>91306.099999999991</v>
      </c>
      <c r="N580" s="812">
        <f t="shared" si="136"/>
        <v>83821.499999999985</v>
      </c>
      <c r="O580" s="812">
        <f t="shared" si="136"/>
        <v>84431.599999999991</v>
      </c>
    </row>
    <row r="581" spans="1:15" s="601" customFormat="1" ht="19.5" x14ac:dyDescent="0.35">
      <c r="A581" s="633">
        <v>926</v>
      </c>
      <c r="B581" s="634"/>
      <c r="C581" s="635"/>
      <c r="D581" s="635"/>
      <c r="E581" s="635"/>
      <c r="F581" s="636" t="s">
        <v>122</v>
      </c>
      <c r="G581" s="636" t="s">
        <v>19</v>
      </c>
      <c r="H581" s="635"/>
      <c r="I581" s="635"/>
      <c r="J581" s="637">
        <f>J582+J583+J584+J589+J587+J585+J588+J586+J590+J591+J596+J595+J592+J597+J594+J593</f>
        <v>62934.500000000007</v>
      </c>
      <c r="K581" s="637">
        <f>K582+K583+K584+K589+K587+K585+K588+K586+K590+K591+K596+K595+K592+K597+K594+K593</f>
        <v>62934.500000000007</v>
      </c>
      <c r="L581" s="637">
        <f>L582+L583+L584+L589+L587+L585+L588+L586+L590+L591+L596+L595+L592+L597+L594+L598+L599</f>
        <v>82567.099999999991</v>
      </c>
      <c r="M581" s="637">
        <f>M582+M583+M584+M589+M587+M585+M588+M586+M590+M591+M596+M595+M592+M597+M594+M598+M599</f>
        <v>84924.999999999985</v>
      </c>
      <c r="N581" s="637">
        <f>N582+N583+N584+N589+N587+N585+N588+N586+N590+N591+N596+N595+N592+N597+N594</f>
        <v>77402.39999999998</v>
      </c>
      <c r="O581" s="637">
        <f>O582+O583+O584+O589+O587+O585+O588+O586+O590+O591+O596+O595+O592+O597+O594</f>
        <v>77975.399999999994</v>
      </c>
    </row>
    <row r="582" spans="1:15" s="601" customFormat="1" ht="42.6" customHeight="1" x14ac:dyDescent="0.35">
      <c r="A582" s="602"/>
      <c r="B582" s="577"/>
      <c r="C582" s="603" t="s">
        <v>790</v>
      </c>
      <c r="D582" s="579"/>
      <c r="E582" s="579"/>
      <c r="F582" s="580" t="s">
        <v>122</v>
      </c>
      <c r="G582" s="580" t="s">
        <v>19</v>
      </c>
      <c r="H582" s="580" t="s">
        <v>791</v>
      </c>
      <c r="I582" s="580" t="s">
        <v>777</v>
      </c>
      <c r="J582" s="581">
        <f>27236.8+1969.1</f>
        <v>29205.899999999998</v>
      </c>
      <c r="K582" s="581">
        <v>29205.9</v>
      </c>
      <c r="L582" s="581">
        <v>38224.9</v>
      </c>
      <c r="M582" s="581">
        <v>37549.300000000003</v>
      </c>
      <c r="N582" s="581">
        <v>38570.699999999997</v>
      </c>
      <c r="O582" s="581">
        <v>38640.6</v>
      </c>
    </row>
    <row r="583" spans="1:15" ht="37.9" customHeight="1" x14ac:dyDescent="0.35">
      <c r="A583" s="602"/>
      <c r="B583" s="604"/>
      <c r="C583" s="603"/>
      <c r="D583" s="579"/>
      <c r="E583" s="579"/>
      <c r="F583" s="580" t="s">
        <v>122</v>
      </c>
      <c r="G583" s="580" t="s">
        <v>19</v>
      </c>
      <c r="H583" s="580" t="s">
        <v>792</v>
      </c>
      <c r="I583" s="580" t="s">
        <v>777</v>
      </c>
      <c r="J583" s="605">
        <v>19799.599999999999</v>
      </c>
      <c r="K583" s="605">
        <v>19799.599999999999</v>
      </c>
      <c r="L583" s="605">
        <v>25455.7</v>
      </c>
      <c r="M583" s="581">
        <v>22835.9</v>
      </c>
      <c r="N583" s="581">
        <v>24935.7</v>
      </c>
      <c r="O583" s="581">
        <v>24977.3</v>
      </c>
    </row>
    <row r="584" spans="1:15" ht="27.75" customHeight="1" x14ac:dyDescent="0.35">
      <c r="A584" s="602"/>
      <c r="B584" s="251"/>
      <c r="C584" s="606" t="s">
        <v>793</v>
      </c>
      <c r="D584" s="579"/>
      <c r="E584" s="579"/>
      <c r="F584" s="580" t="s">
        <v>122</v>
      </c>
      <c r="G584" s="580" t="s">
        <v>19</v>
      </c>
      <c r="H584" s="580" t="s">
        <v>794</v>
      </c>
      <c r="I584" s="580" t="s">
        <v>780</v>
      </c>
      <c r="J584" s="581">
        <v>11540.3</v>
      </c>
      <c r="K584" s="581">
        <v>11540.3</v>
      </c>
      <c r="L584" s="581">
        <v>17290.400000000001</v>
      </c>
      <c r="M584" s="581">
        <v>12873.3</v>
      </c>
      <c r="N584" s="581">
        <v>12049.7</v>
      </c>
      <c r="O584" s="581">
        <v>12450</v>
      </c>
    </row>
    <row r="585" spans="1:15" ht="27.75" customHeight="1" x14ac:dyDescent="0.3">
      <c r="A585" s="602"/>
      <c r="B585" s="251"/>
      <c r="C585" s="606"/>
      <c r="D585" s="607"/>
      <c r="E585" s="607"/>
      <c r="F585" s="608" t="s">
        <v>122</v>
      </c>
      <c r="G585" s="608" t="s">
        <v>19</v>
      </c>
      <c r="H585" s="580" t="s">
        <v>795</v>
      </c>
      <c r="I585" s="609" t="s">
        <v>780</v>
      </c>
      <c r="J585" s="605">
        <v>600</v>
      </c>
      <c r="K585" s="605">
        <v>600</v>
      </c>
      <c r="L585" s="605">
        <v>611.9</v>
      </c>
      <c r="M585" s="605">
        <v>652.6</v>
      </c>
      <c r="N585" s="581">
        <v>680</v>
      </c>
      <c r="O585" s="581">
        <v>707.9</v>
      </c>
    </row>
    <row r="586" spans="1:15" ht="27.75" hidden="1" customHeight="1" x14ac:dyDescent="0.3">
      <c r="A586" s="602"/>
      <c r="B586" s="251"/>
      <c r="C586" s="606"/>
      <c r="D586" s="607"/>
      <c r="E586" s="607"/>
      <c r="F586" s="608" t="s">
        <v>122</v>
      </c>
      <c r="G586" s="608" t="s">
        <v>19</v>
      </c>
      <c r="H586" s="580" t="s">
        <v>796</v>
      </c>
      <c r="I586" s="608" t="s">
        <v>780</v>
      </c>
      <c r="J586" s="605">
        <v>0</v>
      </c>
      <c r="K586" s="605">
        <v>0</v>
      </c>
      <c r="L586" s="605">
        <v>0</v>
      </c>
      <c r="M586" s="605">
        <v>0</v>
      </c>
      <c r="N586" s="581">
        <v>0</v>
      </c>
      <c r="O586" s="581">
        <f t="shared" ref="O586:O597" si="137">N586</f>
        <v>0</v>
      </c>
    </row>
    <row r="587" spans="1:15" ht="38.450000000000003" customHeight="1" x14ac:dyDescent="0.3">
      <c r="A587" s="602"/>
      <c r="B587" s="251"/>
      <c r="C587" s="599" t="s">
        <v>787</v>
      </c>
      <c r="D587" s="607"/>
      <c r="E587" s="607"/>
      <c r="F587" s="608" t="s">
        <v>122</v>
      </c>
      <c r="G587" s="608" t="s">
        <v>19</v>
      </c>
      <c r="H587" s="580" t="s">
        <v>788</v>
      </c>
      <c r="I587" s="609" t="s">
        <v>780</v>
      </c>
      <c r="J587" s="605">
        <v>48</v>
      </c>
      <c r="K587" s="605">
        <v>48</v>
      </c>
      <c r="L587" s="605">
        <v>60</v>
      </c>
      <c r="M587" s="605">
        <v>48</v>
      </c>
      <c r="N587" s="581">
        <v>48</v>
      </c>
      <c r="O587" s="581">
        <f t="shared" si="137"/>
        <v>48</v>
      </c>
    </row>
    <row r="588" spans="1:15" ht="36.6" customHeight="1" x14ac:dyDescent="0.3">
      <c r="A588" s="602"/>
      <c r="B588" s="251"/>
      <c r="C588" s="610" t="s">
        <v>797</v>
      </c>
      <c r="D588" s="607"/>
      <c r="E588" s="607"/>
      <c r="F588" s="608" t="s">
        <v>122</v>
      </c>
      <c r="G588" s="608" t="s">
        <v>19</v>
      </c>
      <c r="H588" s="580" t="s">
        <v>798</v>
      </c>
      <c r="I588" s="609" t="s">
        <v>780</v>
      </c>
      <c r="J588" s="605">
        <v>252.4</v>
      </c>
      <c r="K588" s="605">
        <v>252.4</v>
      </c>
      <c r="L588" s="605">
        <v>265</v>
      </c>
      <c r="M588" s="605">
        <v>276.39999999999998</v>
      </c>
      <c r="N588" s="581">
        <v>288</v>
      </c>
      <c r="O588" s="581">
        <v>288</v>
      </c>
    </row>
    <row r="589" spans="1:15" ht="33.75" customHeight="1" x14ac:dyDescent="0.35">
      <c r="A589" s="602"/>
      <c r="B589" s="251"/>
      <c r="C589" s="596" t="s">
        <v>785</v>
      </c>
      <c r="D589" s="579"/>
      <c r="E589" s="579"/>
      <c r="F589" s="580" t="s">
        <v>122</v>
      </c>
      <c r="G589" s="580" t="s">
        <v>19</v>
      </c>
      <c r="H589" s="580" t="s">
        <v>799</v>
      </c>
      <c r="I589" s="580" t="s">
        <v>780</v>
      </c>
      <c r="J589" s="581">
        <v>40.200000000000003</v>
      </c>
      <c r="K589" s="581">
        <v>40.200000000000003</v>
      </c>
      <c r="L589" s="581">
        <v>40.200000000000003</v>
      </c>
      <c r="M589" s="581">
        <v>41.9</v>
      </c>
      <c r="N589" s="581">
        <v>43.7</v>
      </c>
      <c r="O589" s="581">
        <v>43.7</v>
      </c>
    </row>
    <row r="590" spans="1:15" ht="39.6" customHeight="1" x14ac:dyDescent="0.3">
      <c r="A590" s="602"/>
      <c r="B590" s="251"/>
      <c r="C590" s="599" t="s">
        <v>800</v>
      </c>
      <c r="D590" s="607"/>
      <c r="E590" s="607"/>
      <c r="F590" s="608" t="s">
        <v>122</v>
      </c>
      <c r="G590" s="608" t="s">
        <v>19</v>
      </c>
      <c r="H590" s="580" t="s">
        <v>801</v>
      </c>
      <c r="I590" s="609" t="s">
        <v>780</v>
      </c>
      <c r="J590" s="605">
        <v>30.4</v>
      </c>
      <c r="K590" s="605">
        <v>30.4</v>
      </c>
      <c r="L590" s="605">
        <v>0</v>
      </c>
      <c r="M590" s="605">
        <v>138.69999999999999</v>
      </c>
      <c r="N590" s="581">
        <v>144.5</v>
      </c>
      <c r="O590" s="581">
        <v>144.5</v>
      </c>
    </row>
    <row r="591" spans="1:15" ht="36" hidden="1" customHeight="1" x14ac:dyDescent="0.3">
      <c r="A591" s="602"/>
      <c r="B591" s="251"/>
      <c r="C591" s="611" t="s">
        <v>802</v>
      </c>
      <c r="D591" s="607"/>
      <c r="E591" s="607"/>
      <c r="F591" s="608" t="s">
        <v>122</v>
      </c>
      <c r="G591" s="608" t="s">
        <v>19</v>
      </c>
      <c r="H591" s="580" t="s">
        <v>803</v>
      </c>
      <c r="I591" s="609" t="s">
        <v>780</v>
      </c>
      <c r="J591" s="605">
        <v>0</v>
      </c>
      <c r="K591" s="605">
        <v>0</v>
      </c>
      <c r="L591" s="605">
        <v>0</v>
      </c>
      <c r="M591" s="605">
        <v>0</v>
      </c>
      <c r="N591" s="581">
        <v>0</v>
      </c>
      <c r="O591" s="581">
        <f t="shared" si="137"/>
        <v>0</v>
      </c>
    </row>
    <row r="592" spans="1:15" ht="19.149999999999999" customHeight="1" x14ac:dyDescent="0.3">
      <c r="A592" s="602"/>
      <c r="B592" s="251"/>
      <c r="C592" s="612" t="s">
        <v>804</v>
      </c>
      <c r="D592" s="607"/>
      <c r="E592" s="607"/>
      <c r="F592" s="608" t="s">
        <v>122</v>
      </c>
      <c r="G592" s="608" t="s">
        <v>19</v>
      </c>
      <c r="H592" s="580" t="s">
        <v>791</v>
      </c>
      <c r="I592" s="609" t="s">
        <v>777</v>
      </c>
      <c r="J592" s="605">
        <v>30</v>
      </c>
      <c r="K592" s="605">
        <v>30</v>
      </c>
      <c r="L592" s="605">
        <v>0</v>
      </c>
      <c r="M592" s="605">
        <v>0</v>
      </c>
      <c r="N592" s="581">
        <v>0</v>
      </c>
      <c r="O592" s="581">
        <f t="shared" si="137"/>
        <v>0</v>
      </c>
    </row>
    <row r="593" spans="1:21" ht="19.149999999999999" customHeight="1" x14ac:dyDescent="0.3">
      <c r="A593" s="602"/>
      <c r="B593" s="251"/>
      <c r="C593" s="613"/>
      <c r="D593" s="607"/>
      <c r="E593" s="607"/>
      <c r="F593" s="608" t="s">
        <v>122</v>
      </c>
      <c r="G593" s="608" t="s">
        <v>19</v>
      </c>
      <c r="H593" s="580" t="s">
        <v>805</v>
      </c>
      <c r="I593" s="609" t="s">
        <v>780</v>
      </c>
      <c r="J593" s="605">
        <v>600</v>
      </c>
      <c r="K593" s="605">
        <v>600</v>
      </c>
      <c r="L593" s="605">
        <v>0</v>
      </c>
      <c r="M593" s="605">
        <v>0</v>
      </c>
      <c r="N593" s="581">
        <v>0</v>
      </c>
      <c r="O593" s="581">
        <v>0</v>
      </c>
    </row>
    <row r="594" spans="1:21" ht="37.9" customHeight="1" x14ac:dyDescent="0.3">
      <c r="A594" s="602"/>
      <c r="B594" s="251"/>
      <c r="C594" s="614" t="s">
        <v>806</v>
      </c>
      <c r="D594" s="607"/>
      <c r="E594" s="607"/>
      <c r="F594" s="608" t="s">
        <v>122</v>
      </c>
      <c r="G594" s="608" t="s">
        <v>19</v>
      </c>
      <c r="H594" s="580" t="s">
        <v>807</v>
      </c>
      <c r="I594" s="609" t="s">
        <v>780</v>
      </c>
      <c r="J594" s="605">
        <v>110.3</v>
      </c>
      <c r="K594" s="605">
        <v>110.3</v>
      </c>
      <c r="L594" s="605">
        <v>86.7</v>
      </c>
      <c r="M594" s="605">
        <v>87.5</v>
      </c>
      <c r="N594" s="581">
        <v>89.9</v>
      </c>
      <c r="O594" s="581">
        <v>94.6</v>
      </c>
    </row>
    <row r="595" spans="1:21" ht="37.9" customHeight="1" x14ac:dyDescent="0.3">
      <c r="A595" s="602"/>
      <c r="B595" s="251"/>
      <c r="C595" s="615"/>
      <c r="D595" s="607"/>
      <c r="E595" s="607"/>
      <c r="F595" s="608" t="s">
        <v>122</v>
      </c>
      <c r="G595" s="608" t="s">
        <v>19</v>
      </c>
      <c r="H595" s="580" t="s">
        <v>808</v>
      </c>
      <c r="I595" s="609" t="s">
        <v>780</v>
      </c>
      <c r="J595" s="605">
        <v>677.4</v>
      </c>
      <c r="K595" s="605">
        <v>677.4</v>
      </c>
      <c r="L595" s="605">
        <v>532.29999999999995</v>
      </c>
      <c r="M595" s="605">
        <v>537.70000000000005</v>
      </c>
      <c r="N595" s="581">
        <v>552.20000000000005</v>
      </c>
      <c r="O595" s="581">
        <v>580.79999999999995</v>
      </c>
    </row>
    <row r="596" spans="1:21" ht="31.9" customHeight="1" x14ac:dyDescent="0.3">
      <c r="A596" s="602"/>
      <c r="B596" s="251"/>
      <c r="C596" s="616" t="s">
        <v>809</v>
      </c>
      <c r="D596" s="607"/>
      <c r="E596" s="607"/>
      <c r="F596" s="608" t="s">
        <v>122</v>
      </c>
      <c r="G596" s="608" t="s">
        <v>19</v>
      </c>
      <c r="H596" s="580" t="s">
        <v>810</v>
      </c>
      <c r="I596" s="609" t="s">
        <v>780</v>
      </c>
      <c r="J596" s="605">
        <v>0</v>
      </c>
      <c r="K596" s="605">
        <v>0</v>
      </c>
      <c r="L596" s="605">
        <v>0</v>
      </c>
      <c r="M596" s="605">
        <v>1302.3</v>
      </c>
      <c r="N596" s="581">
        <v>0</v>
      </c>
      <c r="O596" s="581">
        <f t="shared" si="137"/>
        <v>0</v>
      </c>
    </row>
    <row r="597" spans="1:21" ht="31.9" customHeight="1" x14ac:dyDescent="0.3">
      <c r="A597" s="602"/>
      <c r="B597" s="251"/>
      <c r="C597" s="617"/>
      <c r="D597" s="607"/>
      <c r="E597" s="607"/>
      <c r="F597" s="608" t="s">
        <v>122</v>
      </c>
      <c r="G597" s="608" t="s">
        <v>19</v>
      </c>
      <c r="H597" s="580" t="s">
        <v>811</v>
      </c>
      <c r="I597" s="609" t="s">
        <v>780</v>
      </c>
      <c r="J597" s="605">
        <v>0</v>
      </c>
      <c r="K597" s="605">
        <v>0</v>
      </c>
      <c r="L597" s="605">
        <v>0</v>
      </c>
      <c r="M597" s="605">
        <v>8000</v>
      </c>
      <c r="N597" s="581">
        <v>0</v>
      </c>
      <c r="O597" s="581">
        <f t="shared" si="137"/>
        <v>0</v>
      </c>
    </row>
    <row r="598" spans="1:21" ht="28.15" customHeight="1" x14ac:dyDescent="0.3">
      <c r="A598" s="602"/>
      <c r="B598" s="251"/>
      <c r="C598" s="801" t="s">
        <v>812</v>
      </c>
      <c r="D598" s="802"/>
      <c r="E598" s="802"/>
      <c r="F598" s="803" t="s">
        <v>122</v>
      </c>
      <c r="G598" s="803" t="s">
        <v>19</v>
      </c>
      <c r="H598" s="580" t="s">
        <v>813</v>
      </c>
      <c r="I598" s="580" t="s">
        <v>780</v>
      </c>
      <c r="J598" s="804">
        <v>0</v>
      </c>
      <c r="K598" s="804">
        <v>0</v>
      </c>
      <c r="L598" s="804">
        <v>0</v>
      </c>
      <c r="M598" s="804">
        <v>81.400000000000006</v>
      </c>
      <c r="N598" s="805">
        <v>0</v>
      </c>
      <c r="O598" s="805">
        <v>0</v>
      </c>
    </row>
    <row r="599" spans="1:21" ht="28.15" customHeight="1" x14ac:dyDescent="0.3">
      <c r="A599" s="602"/>
      <c r="B599" s="251"/>
      <c r="C599" s="806"/>
      <c r="D599" s="802"/>
      <c r="E599" s="802"/>
      <c r="F599" s="803" t="s">
        <v>122</v>
      </c>
      <c r="G599" s="803" t="s">
        <v>19</v>
      </c>
      <c r="H599" s="580" t="s">
        <v>813</v>
      </c>
      <c r="I599" s="580" t="s">
        <v>780</v>
      </c>
      <c r="J599" s="804">
        <v>0</v>
      </c>
      <c r="K599" s="804">
        <v>0</v>
      </c>
      <c r="L599" s="804">
        <v>0</v>
      </c>
      <c r="M599" s="804">
        <v>500</v>
      </c>
      <c r="N599" s="805">
        <v>0</v>
      </c>
      <c r="O599" s="805">
        <v>0</v>
      </c>
    </row>
    <row r="600" spans="1:21" ht="19.5" x14ac:dyDescent="0.35">
      <c r="A600" s="618"/>
      <c r="B600" s="634"/>
      <c r="C600" s="635"/>
      <c r="D600" s="635"/>
      <c r="E600" s="635"/>
      <c r="F600" s="636" t="s">
        <v>122</v>
      </c>
      <c r="G600" s="636" t="s">
        <v>72</v>
      </c>
      <c r="H600" s="813"/>
      <c r="I600" s="813"/>
      <c r="J600" s="637">
        <f t="shared" ref="J600:O600" si="138">J601</f>
        <v>5557.4</v>
      </c>
      <c r="K600" s="637">
        <f t="shared" si="138"/>
        <v>5557.4</v>
      </c>
      <c r="L600" s="637">
        <f t="shared" si="138"/>
        <v>5912.1</v>
      </c>
      <c r="M600" s="637">
        <f t="shared" si="138"/>
        <v>6381.1</v>
      </c>
      <c r="N600" s="637">
        <f t="shared" si="138"/>
        <v>6419.1</v>
      </c>
      <c r="O600" s="637">
        <f t="shared" si="138"/>
        <v>6456.2</v>
      </c>
    </row>
    <row r="601" spans="1:21" ht="33.75" customHeight="1" thickBot="1" x14ac:dyDescent="0.35">
      <c r="A601" s="618"/>
      <c r="B601" s="604"/>
      <c r="C601" s="619" t="s">
        <v>775</v>
      </c>
      <c r="D601" s="620"/>
      <c r="E601" s="620"/>
      <c r="F601" s="608" t="s">
        <v>122</v>
      </c>
      <c r="G601" s="608" t="s">
        <v>72</v>
      </c>
      <c r="H601" s="621">
        <v>1020200590</v>
      </c>
      <c r="I601" s="609" t="s">
        <v>777</v>
      </c>
      <c r="J601" s="605">
        <v>5557.4</v>
      </c>
      <c r="K601" s="605">
        <v>5557.4</v>
      </c>
      <c r="L601" s="605">
        <v>5912.1</v>
      </c>
      <c r="M601" s="605">
        <v>6381.1</v>
      </c>
      <c r="N601" s="605">
        <v>6419.1</v>
      </c>
      <c r="O601" s="605">
        <v>6456.2</v>
      </c>
    </row>
    <row r="602" spans="1:21" s="646" customFormat="1" ht="18" customHeight="1" thickBot="1" x14ac:dyDescent="0.35">
      <c r="A602" s="817">
        <v>929</v>
      </c>
      <c r="B602" s="961" t="s">
        <v>959</v>
      </c>
      <c r="C602" s="962"/>
      <c r="D602" s="962"/>
      <c r="E602" s="962"/>
      <c r="F602" s="962"/>
      <c r="G602" s="962"/>
      <c r="H602" s="962"/>
      <c r="I602" s="963"/>
      <c r="J602" s="818">
        <f t="shared" ref="J602:O602" si="139">SUM(J625,J604)</f>
        <v>151130.30000000002</v>
      </c>
      <c r="K602" s="818">
        <f t="shared" si="139"/>
        <v>150661.09999999998</v>
      </c>
      <c r="L602" s="818">
        <f t="shared" si="139"/>
        <v>270244.8</v>
      </c>
      <c r="M602" s="818">
        <f t="shared" si="139"/>
        <v>223903.6</v>
      </c>
      <c r="N602" s="818">
        <f t="shared" si="139"/>
        <v>175965.1</v>
      </c>
      <c r="O602" s="819">
        <f t="shared" si="139"/>
        <v>172127.2</v>
      </c>
      <c r="P602" s="645"/>
      <c r="Q602" s="645"/>
      <c r="R602" s="645"/>
      <c r="S602" s="645"/>
      <c r="T602" s="645"/>
      <c r="U602" s="645"/>
    </row>
    <row r="603" spans="1:21" s="19" customFormat="1" ht="36.75" customHeight="1" thickBot="1" x14ac:dyDescent="0.3">
      <c r="A603" s="820" t="s">
        <v>789</v>
      </c>
      <c r="B603" s="820"/>
      <c r="C603" s="820"/>
      <c r="D603" s="820"/>
      <c r="E603" s="820"/>
      <c r="F603" s="820"/>
      <c r="G603" s="820"/>
      <c r="H603" s="820"/>
      <c r="I603" s="820"/>
      <c r="J603" s="820"/>
      <c r="K603" s="820"/>
      <c r="L603" s="820"/>
      <c r="M603" s="820"/>
      <c r="N603" s="820"/>
      <c r="O603" s="821"/>
      <c r="Q603" s="505"/>
      <c r="R603" s="505"/>
      <c r="S603" s="505"/>
    </row>
    <row r="604" spans="1:21" s="829" customFormat="1" ht="20.25" thickBot="1" x14ac:dyDescent="0.4">
      <c r="A604" s="822">
        <v>929</v>
      </c>
      <c r="B604" s="960" t="s">
        <v>772</v>
      </c>
      <c r="C604" s="823"/>
      <c r="D604" s="824"/>
      <c r="E604" s="825"/>
      <c r="F604" s="825"/>
      <c r="G604" s="825"/>
      <c r="H604" s="825"/>
      <c r="I604" s="825"/>
      <c r="J604" s="826">
        <f t="shared" ref="J604:O604" si="140">SUM(J605:J624)</f>
        <v>141565.00000000003</v>
      </c>
      <c r="K604" s="826">
        <f t="shared" si="140"/>
        <v>141095.79999999999</v>
      </c>
      <c r="L604" s="826">
        <f t="shared" si="140"/>
        <v>261956.3</v>
      </c>
      <c r="M604" s="826">
        <f t="shared" si="140"/>
        <v>216557.7</v>
      </c>
      <c r="N604" s="827">
        <f t="shared" si="140"/>
        <v>158066.6</v>
      </c>
      <c r="O604" s="828">
        <f t="shared" si="140"/>
        <v>153495</v>
      </c>
    </row>
    <row r="605" spans="1:21" s="601" customFormat="1" ht="29.25" customHeight="1" x14ac:dyDescent="0.35">
      <c r="A605" s="830"/>
      <c r="B605" s="372" t="s">
        <v>925</v>
      </c>
      <c r="C605" s="831" t="s">
        <v>926</v>
      </c>
      <c r="D605" s="832"/>
      <c r="E605" s="833"/>
      <c r="F605" s="584" t="s">
        <v>124</v>
      </c>
      <c r="G605" s="584" t="s">
        <v>19</v>
      </c>
      <c r="H605" s="791" t="s">
        <v>927</v>
      </c>
      <c r="I605" s="834" t="s">
        <v>777</v>
      </c>
      <c r="J605" s="835">
        <v>69205</v>
      </c>
      <c r="K605" s="835">
        <v>69205</v>
      </c>
      <c r="L605" s="835">
        <f>88622.5+1461.5</f>
        <v>90084</v>
      </c>
      <c r="M605" s="836">
        <v>83737.5</v>
      </c>
      <c r="N605" s="836">
        <v>86874.7</v>
      </c>
      <c r="O605" s="836">
        <v>87726.2</v>
      </c>
    </row>
    <row r="606" spans="1:21" ht="29.25" customHeight="1" x14ac:dyDescent="0.35">
      <c r="A606" s="830"/>
      <c r="B606" s="372"/>
      <c r="C606" s="837" t="s">
        <v>928</v>
      </c>
      <c r="D606" s="838"/>
      <c r="E606" s="838"/>
      <c r="F606" s="584" t="s">
        <v>124</v>
      </c>
      <c r="G606" s="584" t="s">
        <v>19</v>
      </c>
      <c r="H606" s="757" t="s">
        <v>929</v>
      </c>
      <c r="I606" s="839" t="s">
        <v>777</v>
      </c>
      <c r="J606" s="835">
        <v>55663.8</v>
      </c>
      <c r="K606" s="835">
        <f>55627.8+36</f>
        <v>55663.8</v>
      </c>
      <c r="L606" s="840">
        <f>66451.2+60</f>
        <v>66511.199999999997</v>
      </c>
      <c r="M606" s="744">
        <v>60993.1</v>
      </c>
      <c r="N606" s="744">
        <v>62759.6</v>
      </c>
      <c r="O606" s="744">
        <v>63071</v>
      </c>
    </row>
    <row r="607" spans="1:21" ht="29.25" customHeight="1" x14ac:dyDescent="0.35">
      <c r="A607" s="830"/>
      <c r="B607" s="372"/>
      <c r="C607" s="841" t="s">
        <v>930</v>
      </c>
      <c r="D607" s="832"/>
      <c r="E607" s="832"/>
      <c r="F607" s="580" t="s">
        <v>124</v>
      </c>
      <c r="G607" s="580" t="s">
        <v>19</v>
      </c>
      <c r="H607" s="839" t="s">
        <v>931</v>
      </c>
      <c r="I607" s="839" t="s">
        <v>820</v>
      </c>
      <c r="J607" s="842"/>
      <c r="K607" s="835"/>
      <c r="L607" s="842"/>
      <c r="M607" s="843"/>
      <c r="N607" s="842"/>
      <c r="O607" s="842"/>
    </row>
    <row r="608" spans="1:21" ht="29.25" customHeight="1" x14ac:dyDescent="0.3">
      <c r="A608" s="830"/>
      <c r="B608" s="372"/>
      <c r="C608" s="844" t="s">
        <v>932</v>
      </c>
      <c r="D608" s="845"/>
      <c r="E608" s="845"/>
      <c r="F608" s="846">
        <v>11</v>
      </c>
      <c r="G608" s="847" t="s">
        <v>19</v>
      </c>
      <c r="H608" s="935" t="s">
        <v>933</v>
      </c>
      <c r="I608" s="848" t="s">
        <v>780</v>
      </c>
      <c r="J608" s="835">
        <f>K608</f>
        <v>1394.4</v>
      </c>
      <c r="K608" s="835">
        <v>1394.4</v>
      </c>
      <c r="L608" s="840">
        <v>1748</v>
      </c>
      <c r="M608" s="849">
        <v>1998.6</v>
      </c>
      <c r="N608" s="840">
        <v>1998.6</v>
      </c>
      <c r="O608" s="840">
        <v>1998.6</v>
      </c>
    </row>
    <row r="609" spans="1:17" ht="29.25" customHeight="1" x14ac:dyDescent="0.3">
      <c r="A609" s="830"/>
      <c r="B609" s="372"/>
      <c r="C609" s="850" t="s">
        <v>934</v>
      </c>
      <c r="D609" s="845"/>
      <c r="E609" s="845"/>
      <c r="F609" s="846">
        <v>11</v>
      </c>
      <c r="G609" s="847" t="s">
        <v>19</v>
      </c>
      <c r="H609" s="936" t="s">
        <v>935</v>
      </c>
      <c r="I609" s="848" t="s">
        <v>780</v>
      </c>
      <c r="J609" s="840">
        <v>4409</v>
      </c>
      <c r="K609" s="840">
        <v>4408.8999999999996</v>
      </c>
      <c r="L609" s="851">
        <v>4595.3999999999996</v>
      </c>
      <c r="M609" s="849"/>
      <c r="N609" s="851"/>
      <c r="O609" s="851"/>
    </row>
    <row r="610" spans="1:17" ht="29.25" customHeight="1" x14ac:dyDescent="0.3">
      <c r="A610" s="830"/>
      <c r="B610" s="372"/>
      <c r="C610" s="852" t="s">
        <v>936</v>
      </c>
      <c r="D610" s="853"/>
      <c r="E610" s="853"/>
      <c r="F610" s="854">
        <v>11</v>
      </c>
      <c r="G610" s="855" t="s">
        <v>19</v>
      </c>
      <c r="H610" s="937" t="s">
        <v>937</v>
      </c>
      <c r="I610" s="848" t="s">
        <v>780</v>
      </c>
      <c r="J610" s="840">
        <v>645.5</v>
      </c>
      <c r="K610" s="840">
        <v>624.20000000000005</v>
      </c>
      <c r="L610" s="840">
        <v>546.79999999999995</v>
      </c>
      <c r="M610" s="744">
        <v>562.5</v>
      </c>
      <c r="N610" s="840">
        <v>562.5</v>
      </c>
      <c r="O610" s="840">
        <v>562.5</v>
      </c>
    </row>
    <row r="611" spans="1:17" ht="29.25" customHeight="1" x14ac:dyDescent="0.3">
      <c r="A611" s="830"/>
      <c r="B611" s="372"/>
      <c r="C611" s="856" t="s">
        <v>768</v>
      </c>
      <c r="D611" s="857"/>
      <c r="E611" s="857"/>
      <c r="F611" s="858">
        <v>11</v>
      </c>
      <c r="G611" s="859" t="s">
        <v>19</v>
      </c>
      <c r="H611" s="938">
        <v>1230111580</v>
      </c>
      <c r="I611" s="848" t="s">
        <v>838</v>
      </c>
      <c r="J611" s="840">
        <v>431.5</v>
      </c>
      <c r="K611" s="840">
        <v>431.5</v>
      </c>
      <c r="L611" s="851"/>
      <c r="M611" s="849">
        <v>22000</v>
      </c>
      <c r="N611" s="851"/>
      <c r="O611" s="851"/>
    </row>
    <row r="612" spans="1:17" ht="29.25" customHeight="1" x14ac:dyDescent="0.3">
      <c r="A612" s="830"/>
      <c r="B612" s="372"/>
      <c r="C612" s="860"/>
      <c r="D612" s="861"/>
      <c r="E612" s="861"/>
      <c r="F612" s="862"/>
      <c r="G612" s="863"/>
      <c r="H612" s="939"/>
      <c r="I612" s="848" t="s">
        <v>780</v>
      </c>
      <c r="J612" s="840">
        <v>117.7</v>
      </c>
      <c r="K612" s="840">
        <v>117.7</v>
      </c>
      <c r="L612" s="851">
        <v>805.8</v>
      </c>
      <c r="M612" s="849"/>
      <c r="N612" s="851"/>
      <c r="O612" s="851"/>
    </row>
    <row r="613" spans="1:17" ht="29.25" customHeight="1" x14ac:dyDescent="0.3">
      <c r="A613" s="830"/>
      <c r="B613" s="372"/>
      <c r="C613" s="864" t="s">
        <v>938</v>
      </c>
      <c r="D613" s="620"/>
      <c r="E613" s="620"/>
      <c r="F613" s="607">
        <v>11</v>
      </c>
      <c r="G613" s="608" t="s">
        <v>19</v>
      </c>
      <c r="H613" s="940" t="s">
        <v>939</v>
      </c>
      <c r="I613" s="848" t="s">
        <v>726</v>
      </c>
      <c r="J613" s="851"/>
      <c r="K613" s="851"/>
      <c r="L613" s="851">
        <v>92101.6</v>
      </c>
      <c r="M613" s="849"/>
      <c r="N613" s="851"/>
      <c r="O613" s="851"/>
      <c r="Q613" s="865"/>
    </row>
    <row r="614" spans="1:17" ht="29.25" customHeight="1" x14ac:dyDescent="0.3">
      <c r="A614" s="830"/>
      <c r="B614" s="372"/>
      <c r="C614" s="841" t="s">
        <v>940</v>
      </c>
      <c r="D614" s="866"/>
      <c r="E614" s="866"/>
      <c r="F614" s="607">
        <v>11</v>
      </c>
      <c r="G614" s="608" t="s">
        <v>19</v>
      </c>
      <c r="H614" s="940" t="s">
        <v>941</v>
      </c>
      <c r="I614" s="848" t="s">
        <v>780</v>
      </c>
      <c r="J614" s="851"/>
      <c r="K614" s="851"/>
      <c r="L614" s="851">
        <v>917</v>
      </c>
      <c r="M614" s="744"/>
      <c r="N614" s="840"/>
      <c r="O614" s="840"/>
    </row>
    <row r="615" spans="1:17" ht="29.25" customHeight="1" x14ac:dyDescent="0.3">
      <c r="A615" s="830"/>
      <c r="B615" s="372"/>
      <c r="C615" s="856" t="s">
        <v>942</v>
      </c>
      <c r="D615" s="867"/>
      <c r="E615" s="867"/>
      <c r="F615" s="609" t="s">
        <v>124</v>
      </c>
      <c r="G615" s="609" t="s">
        <v>19</v>
      </c>
      <c r="H615" s="848" t="s">
        <v>943</v>
      </c>
      <c r="I615" s="848" t="s">
        <v>780</v>
      </c>
      <c r="J615" s="840"/>
      <c r="K615" s="840"/>
      <c r="L615" s="840"/>
      <c r="M615" s="849"/>
      <c r="N615" s="851"/>
      <c r="O615" s="851"/>
    </row>
    <row r="616" spans="1:17" ht="29.25" customHeight="1" x14ac:dyDescent="0.3">
      <c r="A616" s="830"/>
      <c r="B616" s="372"/>
      <c r="C616" s="868"/>
      <c r="D616" s="867"/>
      <c r="E616" s="867"/>
      <c r="F616" s="609" t="s">
        <v>124</v>
      </c>
      <c r="G616" s="609" t="s">
        <v>19</v>
      </c>
      <c r="H616" s="848" t="s">
        <v>943</v>
      </c>
      <c r="I616" s="848" t="s">
        <v>780</v>
      </c>
      <c r="J616" s="840"/>
      <c r="K616" s="840"/>
      <c r="L616" s="840">
        <v>2200</v>
      </c>
      <c r="M616" s="849"/>
      <c r="N616" s="851"/>
      <c r="O616" s="851"/>
    </row>
    <row r="617" spans="1:17" ht="29.25" customHeight="1" x14ac:dyDescent="0.3">
      <c r="A617" s="830"/>
      <c r="B617" s="372"/>
      <c r="C617" s="860"/>
      <c r="D617" s="867"/>
      <c r="E617" s="867"/>
      <c r="F617" s="609" t="s">
        <v>124</v>
      </c>
      <c r="G617" s="609" t="s">
        <v>19</v>
      </c>
      <c r="H617" s="848" t="s">
        <v>944</v>
      </c>
      <c r="I617" s="848" t="s">
        <v>780</v>
      </c>
      <c r="J617" s="840"/>
      <c r="K617" s="840"/>
      <c r="L617" s="840"/>
      <c r="M617" s="849"/>
      <c r="N617" s="851"/>
      <c r="O617" s="851"/>
    </row>
    <row r="618" spans="1:17" ht="29.25" customHeight="1" x14ac:dyDescent="0.3">
      <c r="A618" s="830"/>
      <c r="B618" s="372"/>
      <c r="C618" s="869" t="s">
        <v>945</v>
      </c>
      <c r="D618" s="870"/>
      <c r="E618" s="870"/>
      <c r="F618" s="607">
        <v>11</v>
      </c>
      <c r="G618" s="608" t="s">
        <v>19</v>
      </c>
      <c r="H618" s="940" t="s">
        <v>946</v>
      </c>
      <c r="I618" s="848" t="s">
        <v>780</v>
      </c>
      <c r="J618" s="840">
        <v>9668.2000000000007</v>
      </c>
      <c r="K618" s="840">
        <v>9220.4</v>
      </c>
      <c r="L618" s="851"/>
      <c r="M618" s="744"/>
      <c r="N618" s="851"/>
      <c r="O618" s="851"/>
      <c r="P618" s="871"/>
    </row>
    <row r="619" spans="1:17" ht="29.25" customHeight="1" x14ac:dyDescent="0.3">
      <c r="A619" s="830"/>
      <c r="B619" s="372"/>
      <c r="C619" s="872"/>
      <c r="D619" s="873"/>
      <c r="E619" s="873"/>
      <c r="F619" s="607">
        <v>11</v>
      </c>
      <c r="G619" s="608" t="s">
        <v>19</v>
      </c>
      <c r="H619" s="940">
        <v>1230110340</v>
      </c>
      <c r="I619" s="848" t="s">
        <v>780</v>
      </c>
      <c r="J619" s="851"/>
      <c r="K619" s="851"/>
      <c r="L619" s="851"/>
      <c r="M619" s="849">
        <v>7138.3</v>
      </c>
      <c r="N619" s="851">
        <v>5738.6</v>
      </c>
      <c r="O619" s="851"/>
    </row>
    <row r="620" spans="1:17" ht="44.25" customHeight="1" x14ac:dyDescent="0.3">
      <c r="A620" s="830"/>
      <c r="B620" s="372"/>
      <c r="C620" s="864" t="s">
        <v>947</v>
      </c>
      <c r="D620" s="866"/>
      <c r="E620" s="866"/>
      <c r="F620" s="607">
        <v>12</v>
      </c>
      <c r="G620" s="608" t="s">
        <v>60</v>
      </c>
      <c r="H620" s="940" t="s">
        <v>948</v>
      </c>
      <c r="I620" s="848" t="s">
        <v>780</v>
      </c>
      <c r="J620" s="851"/>
      <c r="K620" s="851"/>
      <c r="L620" s="851">
        <v>2321.6999999999998</v>
      </c>
      <c r="M620" s="849">
        <v>40000</v>
      </c>
      <c r="N620" s="851"/>
      <c r="O620" s="851"/>
    </row>
    <row r="621" spans="1:17" ht="29.25" customHeight="1" x14ac:dyDescent="0.3">
      <c r="A621" s="830"/>
      <c r="B621" s="372"/>
      <c r="C621" s="874" t="s">
        <v>949</v>
      </c>
      <c r="D621" s="866"/>
      <c r="E621" s="866"/>
      <c r="F621" s="607">
        <v>11</v>
      </c>
      <c r="G621" s="608" t="s">
        <v>19</v>
      </c>
      <c r="H621" s="940">
        <v>1220260820</v>
      </c>
      <c r="I621" s="848" t="s">
        <v>780</v>
      </c>
      <c r="J621" s="851"/>
      <c r="K621" s="851"/>
      <c r="L621" s="851">
        <v>94.9</v>
      </c>
      <c r="M621" s="849">
        <v>98.7</v>
      </c>
      <c r="N621" s="851">
        <v>102.7</v>
      </c>
      <c r="O621" s="851">
        <v>106.8</v>
      </c>
    </row>
    <row r="622" spans="1:17" ht="29.25" customHeight="1" x14ac:dyDescent="0.3">
      <c r="A622" s="875"/>
      <c r="B622" s="380"/>
      <c r="C622" s="841" t="s">
        <v>950</v>
      </c>
      <c r="D622" s="876"/>
      <c r="E622" s="877"/>
      <c r="F622" s="580" t="s">
        <v>124</v>
      </c>
      <c r="G622" s="580" t="s">
        <v>19</v>
      </c>
      <c r="H622" s="839" t="s">
        <v>951</v>
      </c>
      <c r="I622" s="839" t="s">
        <v>838</v>
      </c>
      <c r="J622" s="840"/>
      <c r="K622" s="840"/>
      <c r="L622" s="840"/>
      <c r="M622" s="744"/>
      <c r="N622" s="851"/>
      <c r="O622" s="851"/>
    </row>
    <row r="623" spans="1:17" ht="29.25" customHeight="1" x14ac:dyDescent="0.3">
      <c r="A623" s="878"/>
      <c r="B623" s="179"/>
      <c r="C623" s="856" t="s">
        <v>952</v>
      </c>
      <c r="D623" s="879"/>
      <c r="E623" s="880"/>
      <c r="F623" s="580"/>
      <c r="G623" s="580"/>
      <c r="H623" s="941" t="s">
        <v>953</v>
      </c>
      <c r="I623" s="839" t="s">
        <v>888</v>
      </c>
      <c r="J623" s="840">
        <v>9</v>
      </c>
      <c r="K623" s="840">
        <v>9</v>
      </c>
      <c r="L623" s="840"/>
      <c r="M623" s="881"/>
      <c r="N623" s="882"/>
      <c r="O623" s="882"/>
    </row>
    <row r="624" spans="1:17" ht="29.25" customHeight="1" thickBot="1" x14ac:dyDescent="0.35">
      <c r="A624" s="878"/>
      <c r="B624" s="179"/>
      <c r="C624" s="883"/>
      <c r="D624" s="884"/>
      <c r="E624" s="885"/>
      <c r="F624" s="886" t="s">
        <v>124</v>
      </c>
      <c r="G624" s="886" t="s">
        <v>19</v>
      </c>
      <c r="H624" s="942"/>
      <c r="I624" s="887" t="s">
        <v>31</v>
      </c>
      <c r="J624" s="888">
        <v>20.9</v>
      </c>
      <c r="K624" s="888">
        <v>20.9</v>
      </c>
      <c r="L624" s="888">
        <v>29.9</v>
      </c>
      <c r="M624" s="881">
        <v>29</v>
      </c>
      <c r="N624" s="889">
        <v>29.9</v>
      </c>
      <c r="O624" s="889">
        <v>29.9</v>
      </c>
    </row>
    <row r="625" spans="1:19" s="892" customFormat="1" ht="18.75" customHeight="1" thickBot="1" x14ac:dyDescent="0.4">
      <c r="A625" s="890"/>
      <c r="B625" s="959" t="s">
        <v>772</v>
      </c>
      <c r="C625" s="953"/>
      <c r="D625" s="954"/>
      <c r="E625" s="955"/>
      <c r="F625" s="956"/>
      <c r="G625" s="956"/>
      <c r="H625" s="957"/>
      <c r="I625" s="957"/>
      <c r="J625" s="958">
        <f t="shared" ref="J625:O625" si="141">J626+J629+J635+J641+J648</f>
        <v>9565.2999999999993</v>
      </c>
      <c r="K625" s="958">
        <f t="shared" si="141"/>
        <v>9565.2999999999993</v>
      </c>
      <c r="L625" s="958">
        <f t="shared" si="141"/>
        <v>8288.5</v>
      </c>
      <c r="M625" s="958">
        <f t="shared" si="141"/>
        <v>7345.9000000000005</v>
      </c>
      <c r="N625" s="958">
        <f t="shared" si="141"/>
        <v>17898.5</v>
      </c>
      <c r="O625" s="958">
        <f t="shared" si="141"/>
        <v>18632.2</v>
      </c>
      <c r="P625" s="891"/>
      <c r="Q625" s="891"/>
      <c r="R625" s="891"/>
      <c r="S625" s="891"/>
    </row>
    <row r="626" spans="1:19" s="901" customFormat="1" ht="18.75" customHeight="1" x14ac:dyDescent="0.35">
      <c r="A626" s="893"/>
      <c r="B626" s="894"/>
      <c r="C626" s="895" t="s">
        <v>954</v>
      </c>
      <c r="D626" s="896"/>
      <c r="E626" s="897"/>
      <c r="F626" s="898">
        <v>11</v>
      </c>
      <c r="G626" s="899" t="s">
        <v>19</v>
      </c>
      <c r="H626" s="943" t="s">
        <v>955</v>
      </c>
      <c r="I626" s="900"/>
      <c r="J626" s="835">
        <f t="shared" ref="J626:L626" si="142">J627+J628</f>
        <v>151.4</v>
      </c>
      <c r="K626" s="835">
        <f t="shared" si="142"/>
        <v>151.4</v>
      </c>
      <c r="L626" s="835">
        <f t="shared" si="142"/>
        <v>159.1</v>
      </c>
      <c r="M626" s="836">
        <f>M627+M628</f>
        <v>181</v>
      </c>
      <c r="N626" s="835">
        <f>N627+N628</f>
        <v>188.6</v>
      </c>
      <c r="O626" s="835">
        <f>O627+O628</f>
        <v>196.3</v>
      </c>
    </row>
    <row r="627" spans="1:19" s="901" customFormat="1" ht="19.5" customHeight="1" x14ac:dyDescent="0.35">
      <c r="A627" s="902"/>
      <c r="B627" s="379" t="s">
        <v>956</v>
      </c>
      <c r="C627" s="903"/>
      <c r="D627" s="896"/>
      <c r="E627" s="897"/>
      <c r="F627" s="904"/>
      <c r="G627" s="905"/>
      <c r="H627" s="944"/>
      <c r="I627" s="848" t="s">
        <v>888</v>
      </c>
      <c r="J627" s="851"/>
      <c r="K627" s="851"/>
      <c r="L627" s="851"/>
      <c r="M627" s="849"/>
      <c r="N627" s="849"/>
      <c r="O627" s="851"/>
      <c r="Q627" s="906"/>
    </row>
    <row r="628" spans="1:19" s="901" customFormat="1" ht="19.5" customHeight="1" x14ac:dyDescent="0.35">
      <c r="A628" s="830"/>
      <c r="B628" s="372"/>
      <c r="C628" s="903"/>
      <c r="D628" s="907"/>
      <c r="E628" s="908"/>
      <c r="F628" s="909"/>
      <c r="G628" s="910"/>
      <c r="H628" s="945"/>
      <c r="I628" s="848" t="s">
        <v>31</v>
      </c>
      <c r="J628" s="851">
        <v>151.4</v>
      </c>
      <c r="K628" s="851">
        <v>151.4</v>
      </c>
      <c r="L628" s="851">
        <v>159.1</v>
      </c>
      <c r="M628" s="849">
        <v>181</v>
      </c>
      <c r="N628" s="849">
        <v>188.6</v>
      </c>
      <c r="O628" s="851">
        <v>196.3</v>
      </c>
    </row>
    <row r="629" spans="1:19" s="901" customFormat="1" ht="19.5" customHeight="1" x14ac:dyDescent="0.35">
      <c r="A629" s="830"/>
      <c r="B629" s="372"/>
      <c r="C629" s="903"/>
      <c r="D629" s="907"/>
      <c r="E629" s="908"/>
      <c r="F629" s="911">
        <v>11</v>
      </c>
      <c r="G629" s="912" t="s">
        <v>19</v>
      </c>
      <c r="H629" s="946">
        <v>1220110070</v>
      </c>
      <c r="I629" s="848"/>
      <c r="J629" s="840">
        <f>SUM(J630:J631)</f>
        <v>429.29999999999995</v>
      </c>
      <c r="K629" s="840">
        <f>SUM(K630:K631)</f>
        <v>429.29999999999995</v>
      </c>
      <c r="L629" s="840">
        <f>SUM(L630:L631)</f>
        <v>368.4</v>
      </c>
      <c r="M629" s="840">
        <f t="shared" ref="M629:O629" si="143">SUM(M630:M631)</f>
        <v>385.5</v>
      </c>
      <c r="N629" s="840">
        <f t="shared" si="143"/>
        <v>810.9</v>
      </c>
      <c r="O629" s="840">
        <f t="shared" si="143"/>
        <v>844.1</v>
      </c>
    </row>
    <row r="630" spans="1:19" s="901" customFormat="1" ht="19.5" customHeight="1" x14ac:dyDescent="0.35">
      <c r="A630" s="830"/>
      <c r="B630" s="372"/>
      <c r="C630" s="903"/>
      <c r="D630" s="907"/>
      <c r="E630" s="908"/>
      <c r="F630" s="904"/>
      <c r="G630" s="913"/>
      <c r="H630" s="947"/>
      <c r="I630" s="848" t="s">
        <v>31</v>
      </c>
      <c r="J630" s="849">
        <v>280.89999999999998</v>
      </c>
      <c r="K630" s="849">
        <v>280.89999999999998</v>
      </c>
      <c r="L630" s="849">
        <f>121.9+1</f>
        <v>122.9</v>
      </c>
      <c r="M630" s="849">
        <f>120+20</f>
        <v>140</v>
      </c>
      <c r="N630" s="849">
        <v>120</v>
      </c>
      <c r="O630" s="851">
        <v>120</v>
      </c>
    </row>
    <row r="631" spans="1:19" s="901" customFormat="1" ht="21" customHeight="1" x14ac:dyDescent="0.35">
      <c r="A631" s="830"/>
      <c r="B631" s="372"/>
      <c r="C631" s="903"/>
      <c r="D631" s="914"/>
      <c r="E631" s="914"/>
      <c r="F631" s="909"/>
      <c r="G631" s="915"/>
      <c r="H631" s="948"/>
      <c r="I631" s="848" t="s">
        <v>780</v>
      </c>
      <c r="J631" s="849">
        <v>148.4</v>
      </c>
      <c r="K631" s="849">
        <v>148.4</v>
      </c>
      <c r="L631" s="849">
        <v>245.5</v>
      </c>
      <c r="M631" s="849">
        <v>245.5</v>
      </c>
      <c r="N631" s="849">
        <v>690.9</v>
      </c>
      <c r="O631" s="851">
        <f>362.1+362</f>
        <v>724.1</v>
      </c>
    </row>
    <row r="632" spans="1:19" s="901" customFormat="1" ht="21" customHeight="1" x14ac:dyDescent="0.3">
      <c r="A632" s="830"/>
      <c r="B632" s="372"/>
      <c r="C632" s="903"/>
      <c r="D632" s="916"/>
      <c r="E632" s="916"/>
      <c r="F632" s="917"/>
      <c r="G632" s="918"/>
      <c r="H632" s="946">
        <v>1210110120</v>
      </c>
      <c r="I632" s="900" t="s">
        <v>281</v>
      </c>
      <c r="J632" s="919"/>
      <c r="K632" s="919"/>
      <c r="L632" s="919"/>
      <c r="M632" s="920"/>
      <c r="N632" s="920"/>
      <c r="O632" s="919"/>
    </row>
    <row r="633" spans="1:19" s="901" customFormat="1" ht="21" customHeight="1" x14ac:dyDescent="0.3">
      <c r="A633" s="830"/>
      <c r="B633" s="372"/>
      <c r="C633" s="903"/>
      <c r="D633" s="916"/>
      <c r="E633" s="916"/>
      <c r="F633" s="904">
        <v>11</v>
      </c>
      <c r="G633" s="913" t="s">
        <v>19</v>
      </c>
      <c r="H633" s="947"/>
      <c r="I633" s="848" t="s">
        <v>888</v>
      </c>
      <c r="J633" s="851"/>
      <c r="K633" s="851"/>
      <c r="L633" s="851"/>
      <c r="M633" s="849"/>
      <c r="N633" s="849"/>
      <c r="O633" s="851"/>
    </row>
    <row r="634" spans="1:19" s="901" customFormat="1" ht="21" customHeight="1" x14ac:dyDescent="0.3">
      <c r="A634" s="830"/>
      <c r="B634" s="372"/>
      <c r="C634" s="903"/>
      <c r="D634" s="916"/>
      <c r="E634" s="916"/>
      <c r="F634" s="909"/>
      <c r="G634" s="915"/>
      <c r="H634" s="948"/>
      <c r="I634" s="921" t="s">
        <v>31</v>
      </c>
      <c r="J634" s="882"/>
      <c r="K634" s="882"/>
      <c r="L634" s="882"/>
      <c r="M634" s="922"/>
      <c r="N634" s="922"/>
      <c r="O634" s="882"/>
    </row>
    <row r="635" spans="1:19" s="901" customFormat="1" ht="21" customHeight="1" x14ac:dyDescent="0.3">
      <c r="A635" s="830"/>
      <c r="B635" s="372"/>
      <c r="C635" s="903"/>
      <c r="D635" s="923"/>
      <c r="E635" s="923"/>
      <c r="F635" s="858">
        <v>11</v>
      </c>
      <c r="G635" s="859" t="s">
        <v>19</v>
      </c>
      <c r="H635" s="938">
        <v>1220110740</v>
      </c>
      <c r="I635" s="848"/>
      <c r="J635" s="840">
        <f>SUM(J636:J640)</f>
        <v>952.4</v>
      </c>
      <c r="K635" s="840">
        <f t="shared" ref="K635:O635" si="144">SUM(K636:K640)</f>
        <v>952.4</v>
      </c>
      <c r="L635" s="840">
        <f t="shared" si="144"/>
        <v>827.9</v>
      </c>
      <c r="M635" s="840">
        <f t="shared" si="144"/>
        <v>827.9</v>
      </c>
      <c r="N635" s="840">
        <f t="shared" si="144"/>
        <v>2114.6999999999998</v>
      </c>
      <c r="O635" s="840">
        <f t="shared" si="144"/>
        <v>2201.4</v>
      </c>
    </row>
    <row r="636" spans="1:19" s="901" customFormat="1" ht="19.5" customHeight="1" x14ac:dyDescent="0.3">
      <c r="A636" s="830"/>
      <c r="B636" s="372"/>
      <c r="C636" s="903"/>
      <c r="D636" s="916"/>
      <c r="E636" s="916"/>
      <c r="F636" s="924"/>
      <c r="G636" s="925"/>
      <c r="H636" s="949"/>
      <c r="I636" s="848" t="s">
        <v>281</v>
      </c>
      <c r="J636" s="851"/>
      <c r="K636" s="851"/>
      <c r="L636" s="851"/>
      <c r="M636" s="849"/>
      <c r="N636" s="849"/>
      <c r="O636" s="851"/>
    </row>
    <row r="637" spans="1:19" s="901" customFormat="1" ht="19.5" customHeight="1" x14ac:dyDescent="0.3">
      <c r="A637" s="830"/>
      <c r="B637" s="372"/>
      <c r="C637" s="903"/>
      <c r="D637" s="916"/>
      <c r="E637" s="916"/>
      <c r="F637" s="924"/>
      <c r="G637" s="925"/>
      <c r="H637" s="949"/>
      <c r="I637" s="848" t="s">
        <v>888</v>
      </c>
      <c r="J637" s="851"/>
      <c r="K637" s="851"/>
      <c r="L637" s="851"/>
      <c r="M637" s="849"/>
      <c r="N637" s="849"/>
      <c r="O637" s="851"/>
    </row>
    <row r="638" spans="1:19" s="901" customFormat="1" ht="19.5" customHeight="1" x14ac:dyDescent="0.3">
      <c r="A638" s="830"/>
      <c r="B638" s="372"/>
      <c r="C638" s="903"/>
      <c r="D638" s="916"/>
      <c r="E638" s="916"/>
      <c r="F638" s="924"/>
      <c r="G638" s="925"/>
      <c r="H638" s="949"/>
      <c r="I638" s="848" t="s">
        <v>31</v>
      </c>
      <c r="J638" s="851">
        <f>58.8+1.2+31.5</f>
        <v>91.5</v>
      </c>
      <c r="K638" s="851">
        <f>58.8+1.2+31.5</f>
        <v>91.5</v>
      </c>
      <c r="L638" s="849">
        <f>45+1.2+6.7</f>
        <v>52.900000000000006</v>
      </c>
      <c r="M638" s="849">
        <f>6.7+1.2+45</f>
        <v>52.9</v>
      </c>
      <c r="N638" s="849">
        <v>129</v>
      </c>
      <c r="O638" s="851">
        <f>64.5+1.2+63.3</f>
        <v>129</v>
      </c>
    </row>
    <row r="639" spans="1:19" s="901" customFormat="1" ht="19.5" customHeight="1" x14ac:dyDescent="0.3">
      <c r="A639" s="830"/>
      <c r="B639" s="372"/>
      <c r="C639" s="903"/>
      <c r="D639" s="916"/>
      <c r="E639" s="916"/>
      <c r="F639" s="924"/>
      <c r="G639" s="925"/>
      <c r="H639" s="949"/>
      <c r="I639" s="848" t="s">
        <v>780</v>
      </c>
      <c r="J639" s="851">
        <v>720.9</v>
      </c>
      <c r="K639" s="851">
        <v>720.9</v>
      </c>
      <c r="L639" s="849">
        <v>625</v>
      </c>
      <c r="M639" s="849">
        <v>625</v>
      </c>
      <c r="N639" s="849">
        <v>1864.7</v>
      </c>
      <c r="O639" s="851">
        <v>2072.4</v>
      </c>
    </row>
    <row r="640" spans="1:19" s="901" customFormat="1" ht="19.5" customHeight="1" x14ac:dyDescent="0.3">
      <c r="A640" s="830"/>
      <c r="B640" s="372"/>
      <c r="C640" s="903"/>
      <c r="D640" s="926"/>
      <c r="E640" s="926"/>
      <c r="F640" s="862"/>
      <c r="G640" s="863"/>
      <c r="H640" s="939"/>
      <c r="I640" s="848" t="s">
        <v>39</v>
      </c>
      <c r="J640" s="851">
        <v>140</v>
      </c>
      <c r="K640" s="851">
        <v>140</v>
      </c>
      <c r="L640" s="849">
        <v>150</v>
      </c>
      <c r="M640" s="849">
        <v>150</v>
      </c>
      <c r="N640" s="849">
        <v>121</v>
      </c>
      <c r="O640" s="851">
        <v>0</v>
      </c>
    </row>
    <row r="641" spans="1:16" s="901" customFormat="1" ht="19.5" customHeight="1" x14ac:dyDescent="0.3">
      <c r="A641" s="830"/>
      <c r="B641" s="372"/>
      <c r="C641" s="903"/>
      <c r="D641" s="916"/>
      <c r="E641" s="916"/>
      <c r="F641" s="924">
        <v>11</v>
      </c>
      <c r="G641" s="925" t="s">
        <v>19</v>
      </c>
      <c r="H641" s="938">
        <v>1210110670</v>
      </c>
      <c r="I641" s="900"/>
      <c r="J641" s="927">
        <f t="shared" ref="J641:K641" si="145">SUM(J642:J647)</f>
        <v>7937.7999999999993</v>
      </c>
      <c r="K641" s="927">
        <f t="shared" si="145"/>
        <v>7937.7999999999993</v>
      </c>
      <c r="L641" s="927">
        <f>SUM(L642:L647)</f>
        <v>6828.9</v>
      </c>
      <c r="M641" s="928">
        <f>SUM(M642:M647)</f>
        <v>5834.3</v>
      </c>
      <c r="N641" s="928">
        <f>SUM(N642:N647)</f>
        <v>14662.2</v>
      </c>
      <c r="O641" s="927">
        <f>SUM(O642:O647)</f>
        <v>15263.300000000001</v>
      </c>
      <c r="P641" s="906"/>
    </row>
    <row r="642" spans="1:16" s="901" customFormat="1" ht="19.5" customHeight="1" x14ac:dyDescent="0.3">
      <c r="A642" s="830"/>
      <c r="B642" s="372"/>
      <c r="C642" s="903"/>
      <c r="D642" s="916"/>
      <c r="E642" s="916"/>
      <c r="F642" s="924"/>
      <c r="G642" s="925"/>
      <c r="H642" s="949"/>
      <c r="I642" s="848" t="s">
        <v>156</v>
      </c>
      <c r="J642" s="851"/>
      <c r="K642" s="851"/>
      <c r="L642" s="851">
        <v>130.30000000000001</v>
      </c>
      <c r="M642" s="849"/>
      <c r="N642" s="849"/>
      <c r="O642" s="851"/>
    </row>
    <row r="643" spans="1:16" s="901" customFormat="1" ht="19.5" customHeight="1" x14ac:dyDescent="0.3">
      <c r="A643" s="830"/>
      <c r="B643" s="372"/>
      <c r="C643" s="903"/>
      <c r="D643" s="916"/>
      <c r="E643" s="916"/>
      <c r="F643" s="924"/>
      <c r="G643" s="925"/>
      <c r="H643" s="949"/>
      <c r="I643" s="848" t="s">
        <v>888</v>
      </c>
      <c r="J643" s="851">
        <v>104.4</v>
      </c>
      <c r="K643" s="851">
        <v>104.4</v>
      </c>
      <c r="L643" s="851"/>
      <c r="M643" s="849">
        <v>27.4</v>
      </c>
      <c r="N643" s="849">
        <v>27.4</v>
      </c>
      <c r="O643" s="851">
        <v>27.4</v>
      </c>
    </row>
    <row r="644" spans="1:16" s="901" customFormat="1" ht="19.5" customHeight="1" x14ac:dyDescent="0.3">
      <c r="A644" s="830"/>
      <c r="B644" s="372"/>
      <c r="C644" s="903"/>
      <c r="D644" s="916"/>
      <c r="E644" s="916"/>
      <c r="F644" s="924"/>
      <c r="G644" s="925"/>
      <c r="H644" s="949"/>
      <c r="I644" s="848" t="s">
        <v>31</v>
      </c>
      <c r="J644" s="851">
        <f>416.7+28.1+152.2+531.6</f>
        <v>1128.5999999999999</v>
      </c>
      <c r="K644" s="851">
        <f>416.7+28.1+152.2+531.6</f>
        <v>1128.5999999999999</v>
      </c>
      <c r="L644" s="851">
        <f>477.3+28.8+261</f>
        <v>767.1</v>
      </c>
      <c r="M644" s="849">
        <f>300+36+701.6+498.2</f>
        <v>1535.8</v>
      </c>
      <c r="N644" s="849">
        <f>996.2+800</f>
        <v>1796.2</v>
      </c>
      <c r="O644" s="851">
        <f>800+996.2</f>
        <v>1796.2</v>
      </c>
    </row>
    <row r="645" spans="1:16" s="901" customFormat="1" ht="19.5" customHeight="1" x14ac:dyDescent="0.3">
      <c r="A645" s="830"/>
      <c r="B645" s="372"/>
      <c r="C645" s="903"/>
      <c r="D645" s="916"/>
      <c r="E645" s="916"/>
      <c r="F645" s="924"/>
      <c r="G645" s="925"/>
      <c r="H645" s="949"/>
      <c r="I645" s="848" t="s">
        <v>957</v>
      </c>
      <c r="J645" s="851"/>
      <c r="K645" s="851"/>
      <c r="L645" s="851"/>
      <c r="M645" s="849"/>
      <c r="N645" s="849"/>
      <c r="O645" s="851"/>
    </row>
    <row r="646" spans="1:16" s="901" customFormat="1" ht="19.5" customHeight="1" x14ac:dyDescent="0.3">
      <c r="A646" s="830"/>
      <c r="B646" s="372"/>
      <c r="C646" s="903"/>
      <c r="D646" s="916"/>
      <c r="E646" s="916"/>
      <c r="F646" s="924"/>
      <c r="G646" s="925"/>
      <c r="H646" s="949"/>
      <c r="I646" s="848" t="s">
        <v>39</v>
      </c>
      <c r="J646" s="851"/>
      <c r="K646" s="851"/>
      <c r="L646" s="851"/>
      <c r="M646" s="849"/>
      <c r="N646" s="849"/>
      <c r="O646" s="851"/>
    </row>
    <row r="647" spans="1:16" s="901" customFormat="1" ht="19.5" customHeight="1" x14ac:dyDescent="0.3">
      <c r="A647" s="830"/>
      <c r="B647" s="372"/>
      <c r="C647" s="929"/>
      <c r="D647" s="926"/>
      <c r="E647" s="926"/>
      <c r="F647" s="862"/>
      <c r="G647" s="863"/>
      <c r="H647" s="939"/>
      <c r="I647" s="848" t="s">
        <v>780</v>
      </c>
      <c r="J647" s="851">
        <f>1895.9+4808.9</f>
        <v>6704.7999999999993</v>
      </c>
      <c r="K647" s="851">
        <f>1895.9+4808.9</f>
        <v>6704.7999999999993</v>
      </c>
      <c r="L647" s="851">
        <f>1576.5+4355</f>
        <v>5931.5</v>
      </c>
      <c r="M647" s="849">
        <f>1771.1+2500</f>
        <v>4271.1000000000004</v>
      </c>
      <c r="N647" s="849">
        <f>8439+4399.6</f>
        <v>12838.6</v>
      </c>
      <c r="O647" s="851">
        <f>9040.1+4399.6</f>
        <v>13439.7</v>
      </c>
    </row>
    <row r="648" spans="1:16" s="901" customFormat="1" ht="19.5" customHeight="1" x14ac:dyDescent="0.3">
      <c r="A648" s="830"/>
      <c r="B648" s="372"/>
      <c r="C648" s="930" t="s">
        <v>958</v>
      </c>
      <c r="D648" s="870"/>
      <c r="E648" s="870"/>
      <c r="F648" s="858">
        <v>11</v>
      </c>
      <c r="G648" s="859" t="s">
        <v>19</v>
      </c>
      <c r="H648" s="950" t="s">
        <v>799</v>
      </c>
      <c r="I648" s="931"/>
      <c r="J648" s="927">
        <f t="shared" ref="J648:L648" si="146">SUM(J649:J651)</f>
        <v>94.4</v>
      </c>
      <c r="K648" s="927">
        <f t="shared" si="146"/>
        <v>94.4</v>
      </c>
      <c r="L648" s="927">
        <f t="shared" si="146"/>
        <v>104.2</v>
      </c>
      <c r="M648" s="928">
        <f>SUM(M649:M651)</f>
        <v>117.2</v>
      </c>
      <c r="N648" s="928">
        <f>SUM(N649:N651)</f>
        <v>122.1</v>
      </c>
      <c r="O648" s="927">
        <f>SUM(O649:O651)</f>
        <v>127.1</v>
      </c>
    </row>
    <row r="649" spans="1:16" s="901" customFormat="1" ht="19.5" customHeight="1" x14ac:dyDescent="0.3">
      <c r="A649" s="830"/>
      <c r="B649" s="372"/>
      <c r="C649" s="932"/>
      <c r="D649" s="933"/>
      <c r="E649" s="933"/>
      <c r="F649" s="924"/>
      <c r="G649" s="925"/>
      <c r="H649" s="951"/>
      <c r="I649" s="848" t="s">
        <v>281</v>
      </c>
      <c r="J649" s="851">
        <v>0</v>
      </c>
      <c r="K649" s="851">
        <v>0</v>
      </c>
      <c r="L649" s="851"/>
      <c r="M649" s="849"/>
      <c r="N649" s="849"/>
      <c r="O649" s="851"/>
    </row>
    <row r="650" spans="1:16" s="901" customFormat="1" ht="22.9" customHeight="1" x14ac:dyDescent="0.3">
      <c r="A650" s="830"/>
      <c r="B650" s="372"/>
      <c r="C650" s="932"/>
      <c r="D650" s="933"/>
      <c r="E650" s="933"/>
      <c r="F650" s="924"/>
      <c r="G650" s="925"/>
      <c r="H650" s="951"/>
      <c r="I650" s="848" t="s">
        <v>888</v>
      </c>
      <c r="J650" s="851">
        <v>0</v>
      </c>
      <c r="K650" s="851">
        <v>0</v>
      </c>
      <c r="L650" s="851"/>
      <c r="M650" s="849"/>
      <c r="N650" s="849"/>
      <c r="O650" s="851"/>
    </row>
    <row r="651" spans="1:16" s="901" customFormat="1" ht="31.15" customHeight="1" x14ac:dyDescent="0.3">
      <c r="A651" s="875"/>
      <c r="B651" s="380"/>
      <c r="C651" s="934"/>
      <c r="D651" s="873"/>
      <c r="E651" s="873"/>
      <c r="F651" s="862"/>
      <c r="G651" s="863"/>
      <c r="H651" s="952"/>
      <c r="I651" s="848" t="s">
        <v>31</v>
      </c>
      <c r="J651" s="851">
        <v>94.4</v>
      </c>
      <c r="K651" s="851">
        <v>94.4</v>
      </c>
      <c r="L651" s="851">
        <v>104.2</v>
      </c>
      <c r="M651" s="849">
        <v>117.2</v>
      </c>
      <c r="N651" s="849">
        <v>122.1</v>
      </c>
      <c r="O651" s="849">
        <v>127.1</v>
      </c>
    </row>
    <row r="652" spans="1:16" ht="37.5" customHeight="1" x14ac:dyDescent="0.3">
      <c r="A652" s="976">
        <v>930</v>
      </c>
      <c r="B652" s="977" t="s">
        <v>961</v>
      </c>
      <c r="C652" s="978"/>
      <c r="D652" s="978"/>
      <c r="E652" s="978"/>
      <c r="F652" s="978"/>
      <c r="G652" s="978"/>
      <c r="H652" s="979"/>
      <c r="I652" s="684"/>
      <c r="J652" s="964">
        <f>SUM(J653:J657)</f>
        <v>0</v>
      </c>
      <c r="K652" s="964">
        <f>SUM(K653:K657)</f>
        <v>0</v>
      </c>
      <c r="L652" s="964">
        <f>SUM(L653:L657)</f>
        <v>0</v>
      </c>
      <c r="M652" s="965">
        <f>SUM(M653:M657)</f>
        <v>110482.69999999998</v>
      </c>
      <c r="N652" s="965">
        <f t="shared" ref="N652:O652" si="147">SUM(N653:N657)</f>
        <v>115622.5</v>
      </c>
      <c r="O652" s="965">
        <f t="shared" si="147"/>
        <v>118098.29999999999</v>
      </c>
    </row>
    <row r="653" spans="1:16" ht="30" customHeight="1" x14ac:dyDescent="0.3">
      <c r="A653" s="973">
        <v>930</v>
      </c>
      <c r="B653" s="971" t="s">
        <v>911</v>
      </c>
      <c r="C653" s="966" t="s">
        <v>960</v>
      </c>
      <c r="D653" s="967"/>
      <c r="E653" s="967"/>
      <c r="F653" s="724" t="s">
        <v>220</v>
      </c>
      <c r="G653" s="725" t="s">
        <v>72</v>
      </c>
      <c r="H653" s="724" t="s">
        <v>920</v>
      </c>
      <c r="I653" s="724" t="s">
        <v>31</v>
      </c>
      <c r="J653" s="968">
        <v>0</v>
      </c>
      <c r="K653" s="968">
        <v>0</v>
      </c>
      <c r="L653" s="968">
        <v>0</v>
      </c>
      <c r="M653" s="851">
        <v>595</v>
      </c>
      <c r="N653" s="851">
        <v>618.79999999999995</v>
      </c>
      <c r="O653" s="851">
        <v>643.6</v>
      </c>
    </row>
    <row r="654" spans="1:16" ht="30" customHeight="1" x14ac:dyDescent="0.3">
      <c r="A654" s="973"/>
      <c r="B654" s="972"/>
      <c r="C654" s="969"/>
      <c r="D654" s="967"/>
      <c r="E654" s="967"/>
      <c r="F654" s="724" t="s">
        <v>220</v>
      </c>
      <c r="G654" s="725" t="s">
        <v>72</v>
      </c>
      <c r="H654" s="724" t="s">
        <v>920</v>
      </c>
      <c r="I654" s="724" t="s">
        <v>83</v>
      </c>
      <c r="J654" s="968">
        <v>0</v>
      </c>
      <c r="K654" s="968">
        <v>0</v>
      </c>
      <c r="L654" s="968">
        <v>0</v>
      </c>
      <c r="M654" s="851">
        <v>58904.2</v>
      </c>
      <c r="N654" s="851">
        <v>61260.5</v>
      </c>
      <c r="O654" s="851">
        <v>63711.5</v>
      </c>
    </row>
    <row r="655" spans="1:16" ht="30" customHeight="1" x14ac:dyDescent="0.3">
      <c r="A655" s="973"/>
      <c r="B655" s="972"/>
      <c r="C655" s="969"/>
      <c r="D655" s="967"/>
      <c r="E655" s="967"/>
      <c r="F655" s="724" t="s">
        <v>220</v>
      </c>
      <c r="G655" s="725" t="s">
        <v>72</v>
      </c>
      <c r="H655" s="724" t="s">
        <v>909</v>
      </c>
      <c r="I655" s="724" t="s">
        <v>780</v>
      </c>
      <c r="J655" s="968"/>
      <c r="K655" s="968"/>
      <c r="L655" s="968"/>
      <c r="M655" s="851">
        <v>359.2</v>
      </c>
      <c r="N655" s="851">
        <v>359.2</v>
      </c>
      <c r="O655" s="851">
        <v>359.2</v>
      </c>
    </row>
    <row r="656" spans="1:16" ht="30" customHeight="1" x14ac:dyDescent="0.3">
      <c r="A656" s="973"/>
      <c r="B656" s="972"/>
      <c r="C656" s="969"/>
      <c r="D656" s="967"/>
      <c r="E656" s="967"/>
      <c r="F656" s="724" t="s">
        <v>220</v>
      </c>
      <c r="G656" s="725" t="s">
        <v>72</v>
      </c>
      <c r="H656" s="724" t="s">
        <v>921</v>
      </c>
      <c r="I656" s="724" t="s">
        <v>31</v>
      </c>
      <c r="J656" s="968">
        <v>0</v>
      </c>
      <c r="K656" s="968">
        <v>0</v>
      </c>
      <c r="L656" s="968">
        <v>0</v>
      </c>
      <c r="M656" s="851">
        <v>506.2</v>
      </c>
      <c r="N656" s="851">
        <v>533.79999999999995</v>
      </c>
      <c r="O656" s="851">
        <v>533.79999999999995</v>
      </c>
    </row>
    <row r="657" spans="1:26" ht="21" customHeight="1" x14ac:dyDescent="0.3">
      <c r="A657" s="974"/>
      <c r="B657" s="975"/>
      <c r="C657" s="970"/>
      <c r="D657" s="967"/>
      <c r="E657" s="967"/>
      <c r="F657" s="724" t="s">
        <v>220</v>
      </c>
      <c r="G657" s="725" t="s">
        <v>72</v>
      </c>
      <c r="H657" s="724" t="s">
        <v>921</v>
      </c>
      <c r="I657" s="724" t="s">
        <v>482</v>
      </c>
      <c r="J657" s="968">
        <v>0</v>
      </c>
      <c r="K657" s="968">
        <v>0</v>
      </c>
      <c r="L657" s="968">
        <v>0</v>
      </c>
      <c r="M657" s="851">
        <v>50118.1</v>
      </c>
      <c r="N657" s="851">
        <v>52850.2</v>
      </c>
      <c r="O657" s="851">
        <v>52850.2</v>
      </c>
    </row>
    <row r="658" spans="1:26" s="646" customFormat="1" ht="22.5" customHeight="1" x14ac:dyDescent="0.3">
      <c r="A658" s="1040">
        <v>934</v>
      </c>
      <c r="B658" s="1041" t="s">
        <v>993</v>
      </c>
      <c r="C658" s="1041"/>
      <c r="D658" s="1041"/>
      <c r="E658" s="1041"/>
      <c r="F658" s="1041"/>
      <c r="G658" s="1041"/>
      <c r="H658" s="1042"/>
      <c r="I658" s="1043"/>
      <c r="J658" s="1044">
        <f t="shared" ref="J658:O658" si="148">J660</f>
        <v>7385.4000000000005</v>
      </c>
      <c r="K658" s="1044">
        <f t="shared" si="148"/>
        <v>7325.4000000000005</v>
      </c>
      <c r="L658" s="1045">
        <f t="shared" si="148"/>
        <v>8029.8000000000011</v>
      </c>
      <c r="M658" s="1045">
        <f t="shared" si="148"/>
        <v>10091.200000000001</v>
      </c>
      <c r="N658" s="1045">
        <f t="shared" si="148"/>
        <v>9381.7999999999993</v>
      </c>
      <c r="O658" s="1045">
        <f t="shared" si="148"/>
        <v>9505.9</v>
      </c>
      <c r="P658" s="980"/>
      <c r="Q658" s="980"/>
      <c r="R658" s="980"/>
      <c r="S658" s="980"/>
      <c r="T658" s="980"/>
      <c r="U658" s="980"/>
      <c r="V658" s="980"/>
      <c r="W658" s="980"/>
      <c r="X658" s="980"/>
      <c r="Y658" s="980"/>
      <c r="Z658" s="980"/>
    </row>
    <row r="659" spans="1:26" s="15" customFormat="1" ht="31.7" customHeight="1" x14ac:dyDescent="0.2">
      <c r="A659" s="981" t="s">
        <v>14</v>
      </c>
      <c r="B659" s="981"/>
      <c r="C659" s="981"/>
      <c r="D659" s="981"/>
      <c r="E659" s="981"/>
      <c r="F659" s="981"/>
      <c r="G659" s="981"/>
      <c r="H659" s="981"/>
      <c r="I659" s="981"/>
      <c r="J659" s="981"/>
      <c r="K659" s="981"/>
      <c r="L659" s="981"/>
      <c r="M659" s="981"/>
      <c r="N659" s="981"/>
      <c r="O659" s="981"/>
      <c r="P659" s="980"/>
    </row>
    <row r="660" spans="1:26" s="471" customFormat="1" ht="45" customHeight="1" x14ac:dyDescent="0.25">
      <c r="A660" s="982">
        <v>934</v>
      </c>
      <c r="B660" s="983" t="s">
        <v>962</v>
      </c>
      <c r="C660" s="984" t="s">
        <v>963</v>
      </c>
      <c r="D660" s="985" t="s">
        <v>964</v>
      </c>
      <c r="E660" s="985" t="s">
        <v>18</v>
      </c>
      <c r="F660" s="986"/>
      <c r="G660" s="986"/>
      <c r="H660" s="986"/>
      <c r="I660" s="986"/>
      <c r="J660" s="987">
        <f t="shared" ref="J660:O660" si="149">J661+J679+J682</f>
        <v>7385.4000000000005</v>
      </c>
      <c r="K660" s="987">
        <f t="shared" si="149"/>
        <v>7325.4000000000005</v>
      </c>
      <c r="L660" s="988">
        <f t="shared" si="149"/>
        <v>8029.8000000000011</v>
      </c>
      <c r="M660" s="988">
        <f t="shared" si="149"/>
        <v>10091.200000000001</v>
      </c>
      <c r="N660" s="988">
        <f t="shared" si="149"/>
        <v>9381.7999999999993</v>
      </c>
      <c r="O660" s="988">
        <f t="shared" si="149"/>
        <v>9505.9</v>
      </c>
    </row>
    <row r="661" spans="1:26" s="19" customFormat="1" ht="39.75" customHeight="1" x14ac:dyDescent="0.2">
      <c r="A661" s="989"/>
      <c r="B661" s="990"/>
      <c r="C661" s="991" t="s">
        <v>965</v>
      </c>
      <c r="D661" s="992"/>
      <c r="E661" s="992" t="s">
        <v>966</v>
      </c>
      <c r="F661" s="993" t="s">
        <v>109</v>
      </c>
      <c r="G661" s="993" t="s">
        <v>109</v>
      </c>
      <c r="H661" s="993"/>
      <c r="I661" s="993"/>
      <c r="J661" s="994">
        <f t="shared" ref="J661:O661" si="150">J662+J663+J664+J673+J675+J677+J678</f>
        <v>6883.4000000000005</v>
      </c>
      <c r="K661" s="995">
        <f t="shared" si="150"/>
        <v>6823.4000000000005</v>
      </c>
      <c r="L661" s="995">
        <f>L662+L663+L664+L673+L675+L677+L678</f>
        <v>7502.1000000000013</v>
      </c>
      <c r="M661" s="995">
        <f t="shared" si="150"/>
        <v>9541.0000000000018</v>
      </c>
      <c r="N661" s="995">
        <f t="shared" si="150"/>
        <v>8808.5</v>
      </c>
      <c r="O661" s="995">
        <f t="shared" si="150"/>
        <v>8909.1</v>
      </c>
    </row>
    <row r="662" spans="1:26" s="19" customFormat="1" ht="84" hidden="1" x14ac:dyDescent="0.2">
      <c r="A662" s="989"/>
      <c r="B662" s="983" t="s">
        <v>271</v>
      </c>
      <c r="C662" s="985" t="s">
        <v>967</v>
      </c>
      <c r="D662" s="985"/>
      <c r="E662" s="992" t="s">
        <v>968</v>
      </c>
      <c r="F662" s="996" t="s">
        <v>109</v>
      </c>
      <c r="G662" s="996" t="s">
        <v>109</v>
      </c>
      <c r="H662" s="996" t="s">
        <v>969</v>
      </c>
      <c r="I662" s="996" t="s">
        <v>777</v>
      </c>
      <c r="J662" s="997">
        <v>0</v>
      </c>
      <c r="K662" s="998">
        <v>0</v>
      </c>
      <c r="L662" s="998">
        <v>0</v>
      </c>
      <c r="M662" s="998">
        <v>0</v>
      </c>
      <c r="N662" s="998">
        <v>0</v>
      </c>
      <c r="O662" s="998">
        <v>0</v>
      </c>
    </row>
    <row r="663" spans="1:26" s="19" customFormat="1" ht="12.75" hidden="1" x14ac:dyDescent="0.2">
      <c r="A663" s="989"/>
      <c r="B663" s="983"/>
      <c r="C663" s="999"/>
      <c r="D663" s="1000"/>
      <c r="E663" s="992"/>
      <c r="F663" s="996"/>
      <c r="G663" s="996"/>
      <c r="H663" s="996"/>
      <c r="I663" s="996"/>
      <c r="J663" s="997">
        <v>0</v>
      </c>
      <c r="K663" s="998">
        <v>0</v>
      </c>
      <c r="L663" s="998">
        <v>0</v>
      </c>
      <c r="M663" s="998">
        <v>0</v>
      </c>
      <c r="N663" s="998">
        <v>0</v>
      </c>
      <c r="O663" s="998">
        <v>0</v>
      </c>
    </row>
    <row r="664" spans="1:26" s="19" customFormat="1" ht="41.25" customHeight="1" x14ac:dyDescent="0.2">
      <c r="A664" s="989"/>
      <c r="B664" s="1001" t="s">
        <v>271</v>
      </c>
      <c r="C664" s="999" t="s">
        <v>970</v>
      </c>
      <c r="D664" s="1000" t="s">
        <v>971</v>
      </c>
      <c r="E664" s="992" t="s">
        <v>972</v>
      </c>
      <c r="F664" s="996" t="s">
        <v>109</v>
      </c>
      <c r="G664" s="996" t="s">
        <v>109</v>
      </c>
      <c r="H664" s="996" t="s">
        <v>969</v>
      </c>
      <c r="I664" s="996"/>
      <c r="J664" s="998">
        <f t="shared" ref="J664:O664" si="151">J665+J666+J667+J668+J670+J671+J672+J669</f>
        <v>5385.6</v>
      </c>
      <c r="K664" s="998">
        <f t="shared" si="151"/>
        <v>5325.6</v>
      </c>
      <c r="L664" s="998">
        <f t="shared" si="151"/>
        <v>6029.8000000000011</v>
      </c>
      <c r="M664" s="998">
        <f>M665+M666+M667+M668+M670+M671+M672+M669</f>
        <v>7976.6000000000013</v>
      </c>
      <c r="N664" s="998">
        <f t="shared" si="151"/>
        <v>7178.4000000000005</v>
      </c>
      <c r="O664" s="998">
        <f t="shared" si="151"/>
        <v>7212.2000000000007</v>
      </c>
    </row>
    <row r="665" spans="1:26" s="19" customFormat="1" ht="43.5" customHeight="1" x14ac:dyDescent="0.2">
      <c r="A665" s="989"/>
      <c r="B665" s="1002"/>
      <c r="C665" s="999" t="s">
        <v>973</v>
      </c>
      <c r="D665" s="1000"/>
      <c r="E665" s="992" t="s">
        <v>974</v>
      </c>
      <c r="F665" s="996"/>
      <c r="G665" s="996"/>
      <c r="H665" s="1000"/>
      <c r="I665" s="1000" t="s">
        <v>280</v>
      </c>
      <c r="J665" s="1003">
        <f>3624.7+4.9</f>
        <v>3629.6</v>
      </c>
      <c r="K665" s="1003">
        <f>3624.7+4.9</f>
        <v>3629.6</v>
      </c>
      <c r="L665" s="1003">
        <f>3860.3+10.8</f>
        <v>3871.1000000000004</v>
      </c>
      <c r="M665" s="1003">
        <v>5605.8</v>
      </c>
      <c r="N665" s="1003">
        <v>4891.2</v>
      </c>
      <c r="O665" s="1003">
        <v>4891.2</v>
      </c>
      <c r="P665" s="1004"/>
    </row>
    <row r="666" spans="1:26" s="19" customFormat="1" ht="28.5" customHeight="1" x14ac:dyDescent="0.2">
      <c r="A666" s="989"/>
      <c r="B666" s="1002"/>
      <c r="C666" s="999" t="s">
        <v>975</v>
      </c>
      <c r="D666" s="1000"/>
      <c r="E666" s="992"/>
      <c r="F666" s="996"/>
      <c r="G666" s="996"/>
      <c r="H666" s="1000"/>
      <c r="I666" s="1000" t="s">
        <v>281</v>
      </c>
      <c r="J666" s="1003">
        <v>0</v>
      </c>
      <c r="K666" s="1003">
        <v>0</v>
      </c>
      <c r="L666" s="1003">
        <v>0</v>
      </c>
      <c r="M666" s="1003">
        <v>0</v>
      </c>
      <c r="N666" s="1003">
        <v>0</v>
      </c>
      <c r="O666" s="1003">
        <v>0</v>
      </c>
    </row>
    <row r="667" spans="1:26" s="19" customFormat="1" ht="29.25" customHeight="1" x14ac:dyDescent="0.2">
      <c r="A667" s="989"/>
      <c r="B667" s="1002"/>
      <c r="C667" s="999" t="s">
        <v>973</v>
      </c>
      <c r="D667" s="1000"/>
      <c r="E667" s="992" t="s">
        <v>974</v>
      </c>
      <c r="F667" s="996"/>
      <c r="G667" s="996"/>
      <c r="H667" s="1000"/>
      <c r="I667" s="1000" t="s">
        <v>284</v>
      </c>
      <c r="J667" s="1003">
        <v>1029.5</v>
      </c>
      <c r="K667" s="1003">
        <v>1029.5</v>
      </c>
      <c r="L667" s="1003">
        <v>1213.5999999999999</v>
      </c>
      <c r="M667" s="1003">
        <v>1692.9</v>
      </c>
      <c r="N667" s="1003">
        <v>1477.2</v>
      </c>
      <c r="O667" s="1003">
        <v>1477.2</v>
      </c>
    </row>
    <row r="668" spans="1:26" s="19" customFormat="1" ht="39" customHeight="1" x14ac:dyDescent="0.2">
      <c r="A668" s="989"/>
      <c r="B668" s="1002"/>
      <c r="C668" s="999" t="s">
        <v>976</v>
      </c>
      <c r="D668" s="1000"/>
      <c r="E668" s="992" t="s">
        <v>977</v>
      </c>
      <c r="F668" s="996"/>
      <c r="G668" s="996"/>
      <c r="H668" s="1000"/>
      <c r="I668" s="1000" t="s">
        <v>31</v>
      </c>
      <c r="J668" s="1003">
        <f>27.1+82.2+30.4+5.4+7.5+389.4+169.3+0.1</f>
        <v>711.4</v>
      </c>
      <c r="K668" s="1003">
        <f>27.1+81.1+28.7+5.4+7.5+366+135.6</f>
        <v>651.4</v>
      </c>
      <c r="L668" s="1003">
        <f>27.5+117.2+76.6+6.3+6+20+31.6+6.8+428.5+78.8+120+10</f>
        <v>929.3</v>
      </c>
      <c r="M668" s="1003">
        <f>28+3+100+80+10+40+387.2</f>
        <v>648.20000000000005</v>
      </c>
      <c r="N668" s="1003">
        <f>29+5+120+100+11+60+455.3</f>
        <v>780.3</v>
      </c>
      <c r="O668" s="1003">
        <f>30+5+120+100+15+60+484.1</f>
        <v>814.1</v>
      </c>
      <c r="P668" s="1004"/>
    </row>
    <row r="669" spans="1:26" s="19" customFormat="1" ht="24.75" customHeight="1" x14ac:dyDescent="0.2">
      <c r="A669" s="989"/>
      <c r="B669" s="1002"/>
      <c r="C669" s="999" t="s">
        <v>978</v>
      </c>
      <c r="D669" s="1000"/>
      <c r="E669" s="992" t="s">
        <v>979</v>
      </c>
      <c r="F669" s="996"/>
      <c r="G669" s="996"/>
      <c r="H669" s="1000"/>
      <c r="I669" s="1000" t="s">
        <v>83</v>
      </c>
      <c r="J669" s="1003">
        <v>0</v>
      </c>
      <c r="K669" s="1003">
        <v>0</v>
      </c>
      <c r="L669" s="1003">
        <v>0</v>
      </c>
      <c r="M669" s="1003">
        <v>0</v>
      </c>
      <c r="N669" s="1003">
        <v>0</v>
      </c>
      <c r="O669" s="1003">
        <v>0</v>
      </c>
      <c r="P669" s="1004"/>
    </row>
    <row r="670" spans="1:26" s="19" customFormat="1" ht="24" x14ac:dyDescent="0.2">
      <c r="A670" s="989"/>
      <c r="B670" s="1002"/>
      <c r="C670" s="1005" t="s">
        <v>288</v>
      </c>
      <c r="D670" s="985" t="s">
        <v>32</v>
      </c>
      <c r="E670" s="1006" t="s">
        <v>43</v>
      </c>
      <c r="F670" s="996"/>
      <c r="G670" s="996"/>
      <c r="H670" s="1000"/>
      <c r="I670" s="1000" t="s">
        <v>33</v>
      </c>
      <c r="J670" s="1003">
        <v>11.9</v>
      </c>
      <c r="K670" s="1003">
        <v>11.9</v>
      </c>
      <c r="L670" s="1003">
        <v>8.6999999999999993</v>
      </c>
      <c r="M670" s="1003">
        <v>24.8</v>
      </c>
      <c r="N670" s="1003">
        <v>24.8</v>
      </c>
      <c r="O670" s="1003">
        <v>24.8</v>
      </c>
    </row>
    <row r="671" spans="1:26" s="19" customFormat="1" ht="24" x14ac:dyDescent="0.2">
      <c r="A671" s="989"/>
      <c r="B671" s="1002"/>
      <c r="C671" s="1005" t="s">
        <v>288</v>
      </c>
      <c r="D671" s="985" t="s">
        <v>34</v>
      </c>
      <c r="E671" s="1006" t="s">
        <v>43</v>
      </c>
      <c r="F671" s="996"/>
      <c r="G671" s="996"/>
      <c r="H671" s="1000"/>
      <c r="I671" s="1000" t="s">
        <v>35</v>
      </c>
      <c r="J671" s="1003">
        <v>3.1</v>
      </c>
      <c r="K671" s="1003">
        <v>3.1</v>
      </c>
      <c r="L671" s="1003">
        <v>2.2999999999999998</v>
      </c>
      <c r="M671" s="1003">
        <v>3.8</v>
      </c>
      <c r="N671" s="1003">
        <v>3.8</v>
      </c>
      <c r="O671" s="1003">
        <v>3.8</v>
      </c>
    </row>
    <row r="672" spans="1:26" s="19" customFormat="1" ht="30" customHeight="1" x14ac:dyDescent="0.2">
      <c r="A672" s="989"/>
      <c r="B672" s="1007"/>
      <c r="C672" s="1008" t="s">
        <v>36</v>
      </c>
      <c r="D672" s="1009" t="s">
        <v>37</v>
      </c>
      <c r="E672" s="1009" t="s">
        <v>38</v>
      </c>
      <c r="F672" s="996"/>
      <c r="G672" s="996"/>
      <c r="H672" s="1000"/>
      <c r="I672" s="1000" t="s">
        <v>39</v>
      </c>
      <c r="J672" s="1010">
        <v>0.1</v>
      </c>
      <c r="K672" s="1003">
        <v>0.1</v>
      </c>
      <c r="L672" s="1003">
        <v>4.8</v>
      </c>
      <c r="M672" s="1003">
        <v>1.1000000000000001</v>
      </c>
      <c r="N672" s="1003">
        <v>1.1000000000000001</v>
      </c>
      <c r="O672" s="1003">
        <v>1.1000000000000001</v>
      </c>
    </row>
    <row r="673" spans="1:15" s="1014" customFormat="1" ht="72" hidden="1" customHeight="1" x14ac:dyDescent="0.2">
      <c r="A673" s="989"/>
      <c r="B673" s="983" t="s">
        <v>271</v>
      </c>
      <c r="C673" s="1011"/>
      <c r="D673" s="1012"/>
      <c r="E673" s="1012"/>
      <c r="F673" s="996" t="s">
        <v>109</v>
      </c>
      <c r="G673" s="996" t="s">
        <v>109</v>
      </c>
      <c r="H673" s="996" t="s">
        <v>980</v>
      </c>
      <c r="I673" s="996" t="s">
        <v>780</v>
      </c>
      <c r="J673" s="1013">
        <v>0</v>
      </c>
      <c r="K673" s="998">
        <v>0</v>
      </c>
      <c r="L673" s="998">
        <v>0</v>
      </c>
      <c r="M673" s="998">
        <v>0</v>
      </c>
      <c r="N673" s="998">
        <v>0</v>
      </c>
      <c r="O673" s="998">
        <v>0</v>
      </c>
    </row>
    <row r="674" spans="1:15" s="1014" customFormat="1" ht="12.75" x14ac:dyDescent="0.2">
      <c r="A674" s="989"/>
      <c r="B674" s="1015"/>
      <c r="C674" s="1016"/>
      <c r="D674" s="1017"/>
      <c r="E674" s="1017"/>
      <c r="F674" s="996"/>
      <c r="G674" s="996"/>
      <c r="H674" s="996"/>
      <c r="I674" s="1000"/>
      <c r="J674" s="1013"/>
      <c r="K674" s="998"/>
      <c r="L674" s="998"/>
      <c r="M674" s="998"/>
      <c r="N674" s="998"/>
      <c r="O674" s="998"/>
    </row>
    <row r="675" spans="1:15" s="525" customFormat="1" ht="43.5" customHeight="1" x14ac:dyDescent="0.2">
      <c r="A675" s="989"/>
      <c r="B675" s="1018" t="s">
        <v>962</v>
      </c>
      <c r="C675" s="1019" t="s">
        <v>981</v>
      </c>
      <c r="D675" s="1020"/>
      <c r="E675" s="992" t="s">
        <v>982</v>
      </c>
      <c r="F675" s="1020" t="s">
        <v>109</v>
      </c>
      <c r="G675" s="1020" t="s">
        <v>109</v>
      </c>
      <c r="H675" s="1020" t="s">
        <v>983</v>
      </c>
      <c r="I675" s="1020"/>
      <c r="J675" s="998">
        <f t="shared" ref="J675:O675" si="152">J676</f>
        <v>1497.8</v>
      </c>
      <c r="K675" s="998">
        <f t="shared" si="152"/>
        <v>1497.8</v>
      </c>
      <c r="L675" s="998">
        <f t="shared" si="152"/>
        <v>1472.3</v>
      </c>
      <c r="M675" s="998">
        <f>M676</f>
        <v>1564.4</v>
      </c>
      <c r="N675" s="998">
        <f>N676</f>
        <v>1630.1</v>
      </c>
      <c r="O675" s="998">
        <f t="shared" si="152"/>
        <v>1696.9</v>
      </c>
    </row>
    <row r="676" spans="1:15" s="19" customFormat="1" ht="44.25" customHeight="1" x14ac:dyDescent="0.2">
      <c r="A676" s="989"/>
      <c r="B676" s="1021"/>
      <c r="C676" s="991" t="s">
        <v>984</v>
      </c>
      <c r="D676" s="1022"/>
      <c r="E676" s="992" t="s">
        <v>985</v>
      </c>
      <c r="F676" s="1000" t="s">
        <v>109</v>
      </c>
      <c r="G676" s="1000" t="s">
        <v>109</v>
      </c>
      <c r="H676" s="1000" t="s">
        <v>983</v>
      </c>
      <c r="I676" s="1000" t="s">
        <v>690</v>
      </c>
      <c r="J676" s="1003">
        <v>1497.8</v>
      </c>
      <c r="K676" s="1003">
        <v>1497.8</v>
      </c>
      <c r="L676" s="1003">
        <v>1472.3</v>
      </c>
      <c r="M676" s="1003">
        <v>1564.4</v>
      </c>
      <c r="N676" s="1003">
        <v>1630.1</v>
      </c>
      <c r="O676" s="1003">
        <v>1696.9</v>
      </c>
    </row>
    <row r="677" spans="1:15" s="1014" customFormat="1" ht="12.75" hidden="1" x14ac:dyDescent="0.2">
      <c r="A677" s="989"/>
      <c r="B677" s="983"/>
      <c r="C677" s="1023"/>
      <c r="D677" s="1024"/>
      <c r="E677" s="992"/>
      <c r="F677" s="996"/>
      <c r="G677" s="996"/>
      <c r="H677" s="996"/>
      <c r="I677" s="996"/>
      <c r="J677" s="997">
        <v>0</v>
      </c>
      <c r="K677" s="998">
        <v>0</v>
      </c>
      <c r="L677" s="998">
        <v>0</v>
      </c>
      <c r="M677" s="998">
        <v>0</v>
      </c>
      <c r="N677" s="998">
        <v>0</v>
      </c>
      <c r="O677" s="998">
        <v>0</v>
      </c>
    </row>
    <row r="678" spans="1:15" s="1025" customFormat="1" ht="148.69999999999999" hidden="1" customHeight="1" x14ac:dyDescent="0.2">
      <c r="A678" s="989"/>
      <c r="B678" s="983"/>
      <c r="C678" s="1023"/>
      <c r="D678" s="996"/>
      <c r="E678" s="992"/>
      <c r="F678" s="996"/>
      <c r="G678" s="996"/>
      <c r="H678" s="996"/>
      <c r="I678" s="996"/>
      <c r="J678" s="997">
        <v>0</v>
      </c>
      <c r="K678" s="998">
        <v>0</v>
      </c>
      <c r="L678" s="998">
        <v>0</v>
      </c>
      <c r="M678" s="998">
        <v>0</v>
      </c>
      <c r="N678" s="998">
        <v>0</v>
      </c>
      <c r="O678" s="998">
        <v>0</v>
      </c>
    </row>
    <row r="679" spans="1:15" s="525" customFormat="1" ht="45.75" customHeight="1" x14ac:dyDescent="0.2">
      <c r="A679" s="989"/>
      <c r="B679" s="982" t="s">
        <v>986</v>
      </c>
      <c r="C679" s="1026" t="s">
        <v>987</v>
      </c>
      <c r="D679" s="1027"/>
      <c r="E679" s="1028" t="s">
        <v>988</v>
      </c>
      <c r="F679" s="1000" t="s">
        <v>109</v>
      </c>
      <c r="G679" s="1000" t="s">
        <v>109</v>
      </c>
      <c r="H679" s="1000" t="s">
        <v>953</v>
      </c>
      <c r="I679" s="1000" t="s">
        <v>690</v>
      </c>
      <c r="J679" s="995">
        <f t="shared" ref="J679:K679" si="153">J680+J681</f>
        <v>113</v>
      </c>
      <c r="K679" s="995">
        <f t="shared" si="153"/>
        <v>113</v>
      </c>
      <c r="L679" s="995">
        <f>L680+L681</f>
        <v>118.99999999999999</v>
      </c>
      <c r="M679" s="995">
        <f t="shared" ref="M679:O679" si="154">M680+M681</f>
        <v>123.8</v>
      </c>
      <c r="N679" s="995">
        <f t="shared" si="154"/>
        <v>129</v>
      </c>
      <c r="O679" s="995">
        <f t="shared" si="154"/>
        <v>134.30000000000001</v>
      </c>
    </row>
    <row r="680" spans="1:15" s="19" customFormat="1" ht="48.75" customHeight="1" x14ac:dyDescent="0.2">
      <c r="A680" s="1029"/>
      <c r="B680" s="989"/>
      <c r="C680" s="1030"/>
      <c r="D680" s="1031"/>
      <c r="E680" s="1028" t="s">
        <v>989</v>
      </c>
      <c r="F680" s="1000" t="s">
        <v>109</v>
      </c>
      <c r="G680" s="1000" t="s">
        <v>109</v>
      </c>
      <c r="H680" s="1000" t="s">
        <v>953</v>
      </c>
      <c r="I680" s="1000" t="s">
        <v>690</v>
      </c>
      <c r="J680" s="1003">
        <v>113</v>
      </c>
      <c r="K680" s="1003">
        <v>113</v>
      </c>
      <c r="L680" s="1003">
        <f>20.1+98.6</f>
        <v>118.69999999999999</v>
      </c>
      <c r="M680" s="1003">
        <v>123.8</v>
      </c>
      <c r="N680" s="1003">
        <v>129</v>
      </c>
      <c r="O680" s="1003">
        <v>134.30000000000001</v>
      </c>
    </row>
    <row r="681" spans="1:15" s="19" customFormat="1" ht="18.75" customHeight="1" x14ac:dyDescent="0.2">
      <c r="A681" s="1032"/>
      <c r="B681" s="1029"/>
      <c r="C681" s="1033"/>
      <c r="D681" s="1034"/>
      <c r="E681" s="1035"/>
      <c r="F681" s="1000" t="s">
        <v>109</v>
      </c>
      <c r="G681" s="1000" t="s">
        <v>109</v>
      </c>
      <c r="H681" s="1000" t="s">
        <v>953</v>
      </c>
      <c r="I681" s="1000" t="s">
        <v>39</v>
      </c>
      <c r="J681" s="1003">
        <v>0</v>
      </c>
      <c r="K681" s="1003">
        <v>0</v>
      </c>
      <c r="L681" s="1003">
        <v>0.3</v>
      </c>
      <c r="M681" s="1003">
        <v>0</v>
      </c>
      <c r="N681" s="1003">
        <v>0</v>
      </c>
      <c r="O681" s="1003">
        <v>0</v>
      </c>
    </row>
    <row r="682" spans="1:15" ht="50.25" customHeight="1" x14ac:dyDescent="0.3">
      <c r="A682" s="1036"/>
      <c r="B682" s="991" t="s">
        <v>990</v>
      </c>
      <c r="C682" s="1037" t="s">
        <v>991</v>
      </c>
      <c r="D682" s="967"/>
      <c r="E682" s="1038" t="s">
        <v>992</v>
      </c>
      <c r="F682" s="967" t="s">
        <v>109</v>
      </c>
      <c r="G682" s="967" t="s">
        <v>109</v>
      </c>
      <c r="H682" s="967" t="s">
        <v>799</v>
      </c>
      <c r="I682" s="967" t="s">
        <v>690</v>
      </c>
      <c r="J682" s="1039">
        <v>389</v>
      </c>
      <c r="K682" s="1039">
        <v>389</v>
      </c>
      <c r="L682" s="1039">
        <f>56.5+122.2+34+196</f>
        <v>408.7</v>
      </c>
      <c r="M682" s="1039">
        <v>426.4</v>
      </c>
      <c r="N682" s="1039">
        <v>444.3</v>
      </c>
      <c r="O682" s="1039">
        <v>462.5</v>
      </c>
    </row>
    <row r="683" spans="1:15" s="471" customFormat="1" ht="33.75" customHeight="1" x14ac:dyDescent="0.25">
      <c r="A683" s="1046" t="s">
        <v>994</v>
      </c>
      <c r="B683" s="1046"/>
      <c r="C683" s="1046"/>
      <c r="D683" s="1046"/>
      <c r="E683" s="1046"/>
      <c r="F683" s="1046"/>
      <c r="G683" s="1046"/>
      <c r="H683" s="1046"/>
      <c r="I683" s="1046"/>
      <c r="J683" s="1047">
        <f>J658+J652+J602+J567+J444+J399+J386+J365+J25+J10</f>
        <v>3971764.5781000005</v>
      </c>
      <c r="K683" s="1047">
        <f t="shared" ref="K683:O683" si="155">K658+K652+K602+K567+K444+K399+K386+K365+K25+K10</f>
        <v>3903926.2280999999</v>
      </c>
      <c r="L683" s="1047">
        <f t="shared" si="155"/>
        <v>4895805.1649999991</v>
      </c>
      <c r="M683" s="1047">
        <f t="shared" si="155"/>
        <v>4683453.16</v>
      </c>
      <c r="N683" s="1047">
        <f t="shared" si="155"/>
        <v>4438878.5599999996</v>
      </c>
      <c r="O683" s="1047">
        <f t="shared" si="155"/>
        <v>4377965.3599999994</v>
      </c>
    </row>
    <row r="684" spans="1:15" x14ac:dyDescent="0.3">
      <c r="B684" s="1"/>
      <c r="C684" s="1"/>
      <c r="D684" s="1"/>
      <c r="E684" s="1"/>
      <c r="F684" s="1"/>
      <c r="G684" s="1"/>
      <c r="H684" s="1"/>
      <c r="I684" s="1"/>
      <c r="J684" s="1"/>
      <c r="K684" s="1"/>
      <c r="L684" s="1"/>
      <c r="M684" s="1"/>
      <c r="N684" s="1"/>
      <c r="O684" s="1"/>
    </row>
    <row r="685" spans="1:15" x14ac:dyDescent="0.3">
      <c r="B685" s="1"/>
      <c r="C685" s="1"/>
      <c r="D685" s="1"/>
      <c r="E685" s="1"/>
      <c r="F685" s="1"/>
      <c r="G685" s="1"/>
      <c r="H685" s="1"/>
      <c r="I685" s="1"/>
      <c r="J685" s="1"/>
      <c r="K685" s="1"/>
      <c r="L685" s="1"/>
      <c r="M685" s="1"/>
      <c r="N685" s="1"/>
      <c r="O685" s="1"/>
    </row>
    <row r="686" spans="1:15" x14ac:dyDescent="0.3">
      <c r="B686" s="1"/>
      <c r="C686" s="1"/>
      <c r="D686" s="1"/>
      <c r="E686" s="1"/>
      <c r="F686" s="1"/>
      <c r="G686" s="1"/>
      <c r="H686" s="1"/>
      <c r="I686" s="1"/>
      <c r="J686" s="1"/>
      <c r="K686" s="1"/>
      <c r="L686" s="1"/>
      <c r="M686" s="1"/>
      <c r="N686" s="1"/>
      <c r="O686" s="1"/>
    </row>
    <row r="687" spans="1:15" x14ac:dyDescent="0.3">
      <c r="B687" s="1"/>
      <c r="C687" s="1"/>
      <c r="D687" s="1"/>
      <c r="E687" s="1"/>
      <c r="F687" s="1"/>
      <c r="G687" s="1"/>
      <c r="H687" s="1"/>
      <c r="I687" s="1"/>
      <c r="J687" s="1"/>
      <c r="K687" s="1"/>
      <c r="L687" s="1"/>
      <c r="M687" s="1"/>
      <c r="N687" s="1"/>
      <c r="O687" s="1"/>
    </row>
    <row r="688" spans="1:15" x14ac:dyDescent="0.3">
      <c r="B688" s="1"/>
      <c r="C688" s="1"/>
      <c r="D688" s="1"/>
      <c r="E688" s="1"/>
      <c r="F688" s="1"/>
      <c r="G688" s="1"/>
      <c r="H688" s="1"/>
      <c r="I688" s="1"/>
      <c r="J688" s="1"/>
      <c r="K688" s="1"/>
      <c r="L688" s="1"/>
      <c r="M688" s="1"/>
      <c r="N688" s="1"/>
      <c r="O688" s="1"/>
    </row>
    <row r="689" spans="2:15" x14ac:dyDescent="0.3">
      <c r="B689" s="1"/>
      <c r="C689" s="1"/>
      <c r="D689" s="1"/>
      <c r="E689" s="1"/>
      <c r="F689" s="1"/>
      <c r="G689" s="1"/>
      <c r="H689" s="1"/>
      <c r="I689" s="1"/>
      <c r="J689" s="1"/>
      <c r="K689" s="1"/>
      <c r="L689" s="1"/>
      <c r="M689" s="1"/>
      <c r="N689" s="1"/>
      <c r="O689" s="1"/>
    </row>
    <row r="690" spans="2:15" x14ac:dyDescent="0.3">
      <c r="B690" s="1"/>
      <c r="C690" s="1"/>
      <c r="D690" s="1"/>
      <c r="E690" s="1"/>
      <c r="F690" s="1"/>
      <c r="G690" s="1"/>
      <c r="H690" s="1"/>
      <c r="I690" s="1"/>
      <c r="J690" s="1"/>
      <c r="K690" s="1"/>
      <c r="L690" s="1"/>
      <c r="M690" s="1"/>
      <c r="N690" s="1"/>
      <c r="O690" s="1"/>
    </row>
    <row r="691" spans="2:15" x14ac:dyDescent="0.3">
      <c r="B691" s="1"/>
      <c r="C691" s="1"/>
      <c r="D691" s="1"/>
      <c r="E691" s="1"/>
      <c r="F691" s="1"/>
      <c r="G691" s="1"/>
      <c r="H691" s="1"/>
      <c r="I691" s="1"/>
      <c r="J691" s="1"/>
      <c r="K691" s="1"/>
      <c r="L691" s="1"/>
      <c r="M691" s="1"/>
      <c r="N691" s="1"/>
      <c r="O691" s="1"/>
    </row>
    <row r="692" spans="2:15" x14ac:dyDescent="0.3">
      <c r="B692" s="1"/>
      <c r="C692" s="1"/>
      <c r="D692" s="1"/>
      <c r="E692" s="1"/>
      <c r="F692" s="1"/>
      <c r="G692" s="1"/>
      <c r="H692" s="1"/>
      <c r="I692" s="1"/>
      <c r="J692" s="1"/>
      <c r="K692" s="1"/>
      <c r="L692" s="1"/>
      <c r="M692" s="1"/>
      <c r="N692" s="1"/>
      <c r="O692" s="1"/>
    </row>
    <row r="693" spans="2:15" x14ac:dyDescent="0.3">
      <c r="B693" s="1"/>
      <c r="C693" s="1"/>
      <c r="D693" s="1"/>
      <c r="E693" s="1"/>
      <c r="F693" s="1"/>
      <c r="G693" s="1"/>
      <c r="H693" s="1"/>
      <c r="I693" s="1"/>
      <c r="J693" s="1"/>
      <c r="K693" s="1"/>
      <c r="L693" s="1"/>
      <c r="M693" s="1"/>
      <c r="N693" s="1"/>
      <c r="O693" s="1"/>
    </row>
    <row r="694" spans="2:15" x14ac:dyDescent="0.3">
      <c r="B694" s="1"/>
      <c r="C694" s="1"/>
      <c r="D694" s="1"/>
      <c r="E694" s="1"/>
      <c r="F694" s="1"/>
      <c r="G694" s="1"/>
      <c r="H694" s="1"/>
      <c r="I694" s="1"/>
      <c r="J694" s="1"/>
      <c r="K694" s="1"/>
      <c r="L694" s="1"/>
      <c r="M694" s="1"/>
      <c r="N694" s="1"/>
      <c r="O694" s="1"/>
    </row>
    <row r="695" spans="2:15" x14ac:dyDescent="0.3">
      <c r="B695" s="1"/>
      <c r="C695" s="1"/>
      <c r="D695" s="1"/>
      <c r="E695" s="1"/>
      <c r="F695" s="1"/>
      <c r="G695" s="1"/>
      <c r="H695" s="1"/>
      <c r="I695" s="1"/>
      <c r="J695" s="1"/>
      <c r="K695" s="1"/>
      <c r="L695" s="1"/>
      <c r="M695" s="1"/>
      <c r="N695" s="1"/>
      <c r="O695" s="1"/>
    </row>
    <row r="696" spans="2:15" x14ac:dyDescent="0.3">
      <c r="B696" s="1"/>
      <c r="C696" s="1"/>
      <c r="D696" s="1"/>
      <c r="E696" s="1"/>
      <c r="F696" s="1"/>
      <c r="G696" s="1"/>
      <c r="H696" s="1"/>
      <c r="I696" s="1"/>
      <c r="J696" s="1"/>
      <c r="K696" s="1"/>
      <c r="L696" s="1"/>
      <c r="M696" s="1"/>
      <c r="N696" s="1"/>
      <c r="O696" s="1"/>
    </row>
    <row r="697" spans="2:15" x14ac:dyDescent="0.3">
      <c r="B697" s="1"/>
      <c r="C697" s="1"/>
      <c r="D697" s="1"/>
      <c r="E697" s="1"/>
      <c r="F697" s="1"/>
      <c r="G697" s="1"/>
      <c r="H697" s="1"/>
      <c r="I697" s="1"/>
      <c r="J697" s="1"/>
      <c r="K697" s="1"/>
      <c r="L697" s="1"/>
      <c r="M697" s="1"/>
      <c r="N697" s="1"/>
      <c r="O697" s="1"/>
    </row>
    <row r="698" spans="2:15" x14ac:dyDescent="0.3">
      <c r="B698" s="1"/>
      <c r="C698" s="1"/>
      <c r="D698" s="1"/>
      <c r="E698" s="1"/>
      <c r="F698" s="1"/>
      <c r="G698" s="1"/>
      <c r="H698" s="1"/>
      <c r="I698" s="1"/>
      <c r="J698" s="1"/>
      <c r="K698" s="1"/>
      <c r="L698" s="1"/>
      <c r="M698" s="1"/>
      <c r="N698" s="1"/>
      <c r="O698" s="1"/>
    </row>
    <row r="699" spans="2:15" x14ac:dyDescent="0.3">
      <c r="B699" s="1"/>
      <c r="C699" s="1"/>
      <c r="D699" s="1"/>
      <c r="E699" s="1"/>
      <c r="F699" s="1"/>
      <c r="G699" s="1"/>
      <c r="H699" s="1"/>
      <c r="I699" s="1"/>
      <c r="J699" s="1"/>
      <c r="K699" s="1"/>
      <c r="L699" s="1"/>
      <c r="M699" s="1"/>
      <c r="N699" s="1"/>
      <c r="O699" s="1"/>
    </row>
    <row r="700" spans="2:15" x14ac:dyDescent="0.3">
      <c r="B700" s="1"/>
      <c r="C700" s="1"/>
      <c r="D700" s="1"/>
      <c r="E700" s="1"/>
      <c r="F700" s="1"/>
      <c r="G700" s="1"/>
      <c r="H700" s="1"/>
      <c r="I700" s="1"/>
      <c r="J700" s="1"/>
      <c r="K700" s="1"/>
      <c r="L700" s="1"/>
      <c r="M700" s="1"/>
      <c r="N700" s="1"/>
      <c r="O700" s="1"/>
    </row>
    <row r="701" spans="2:15" x14ac:dyDescent="0.3">
      <c r="B701" s="1"/>
      <c r="C701" s="1"/>
      <c r="D701" s="1"/>
      <c r="E701" s="1"/>
      <c r="F701" s="1"/>
      <c r="G701" s="1"/>
      <c r="H701" s="1"/>
      <c r="I701" s="1"/>
      <c r="J701" s="1"/>
      <c r="K701" s="1"/>
      <c r="L701" s="1"/>
      <c r="M701" s="1"/>
      <c r="N701" s="1"/>
      <c r="O701" s="1"/>
    </row>
    <row r="702" spans="2:15" x14ac:dyDescent="0.3">
      <c r="B702" s="1"/>
      <c r="C702" s="1"/>
      <c r="D702" s="1"/>
      <c r="E702" s="1"/>
      <c r="F702" s="1"/>
      <c r="G702" s="1"/>
      <c r="H702" s="1"/>
      <c r="I702" s="1"/>
      <c r="J702" s="1"/>
      <c r="K702" s="1"/>
      <c r="L702" s="1"/>
      <c r="M702" s="1"/>
      <c r="N702" s="1"/>
      <c r="O702" s="1"/>
    </row>
    <row r="703" spans="2:15" x14ac:dyDescent="0.3">
      <c r="B703" s="1"/>
      <c r="C703" s="1"/>
      <c r="D703" s="1"/>
      <c r="E703" s="1"/>
      <c r="F703" s="1"/>
      <c r="G703" s="1"/>
      <c r="H703" s="1"/>
      <c r="I703" s="1"/>
      <c r="J703" s="1"/>
      <c r="K703" s="1"/>
      <c r="L703" s="1"/>
      <c r="M703" s="1"/>
      <c r="N703" s="1"/>
      <c r="O703" s="1"/>
    </row>
    <row r="704" spans="2:15" x14ac:dyDescent="0.3">
      <c r="B704" s="1"/>
      <c r="C704" s="1"/>
      <c r="D704" s="1"/>
      <c r="E704" s="1"/>
      <c r="F704" s="1"/>
      <c r="G704" s="1"/>
      <c r="H704" s="1"/>
      <c r="I704" s="1"/>
      <c r="J704" s="1"/>
      <c r="K704" s="1"/>
      <c r="L704" s="1"/>
      <c r="M704" s="1"/>
      <c r="N704" s="1"/>
      <c r="O704" s="1"/>
    </row>
    <row r="705" spans="2:15" x14ac:dyDescent="0.3">
      <c r="B705" s="1"/>
      <c r="C705" s="1"/>
      <c r="D705" s="1"/>
      <c r="E705" s="1"/>
      <c r="F705" s="1"/>
      <c r="G705" s="1"/>
      <c r="H705" s="1"/>
      <c r="I705" s="1"/>
      <c r="J705" s="1"/>
      <c r="K705" s="1"/>
      <c r="L705" s="1"/>
      <c r="M705" s="1"/>
      <c r="N705" s="1"/>
      <c r="O705" s="1"/>
    </row>
    <row r="706" spans="2:15" x14ac:dyDescent="0.3">
      <c r="B706" s="1"/>
      <c r="C706" s="1"/>
      <c r="D706" s="1"/>
      <c r="E706" s="1"/>
      <c r="F706" s="1"/>
      <c r="G706" s="1"/>
      <c r="H706" s="1"/>
      <c r="I706" s="1"/>
      <c r="J706" s="1"/>
      <c r="K706" s="1"/>
      <c r="L706" s="1"/>
      <c r="M706" s="1"/>
      <c r="N706" s="1"/>
      <c r="O706" s="1"/>
    </row>
    <row r="707" spans="2:15" x14ac:dyDescent="0.3">
      <c r="B707" s="1"/>
      <c r="C707" s="1"/>
      <c r="D707" s="1"/>
      <c r="E707" s="1"/>
      <c r="F707" s="1"/>
      <c r="G707" s="1"/>
      <c r="H707" s="1"/>
      <c r="I707" s="1"/>
      <c r="J707" s="1"/>
      <c r="K707" s="1"/>
      <c r="L707" s="1"/>
      <c r="M707" s="1"/>
      <c r="N707" s="1"/>
      <c r="O707" s="1"/>
    </row>
    <row r="708" spans="2:15" x14ac:dyDescent="0.3">
      <c r="B708" s="1"/>
      <c r="C708" s="1"/>
      <c r="D708" s="1"/>
      <c r="E708" s="1"/>
      <c r="F708" s="1"/>
      <c r="G708" s="1"/>
      <c r="H708" s="1"/>
      <c r="I708" s="1"/>
      <c r="J708" s="1"/>
      <c r="K708" s="1"/>
      <c r="L708" s="1"/>
      <c r="M708" s="1"/>
      <c r="N708" s="1"/>
      <c r="O708" s="1"/>
    </row>
    <row r="709" spans="2:15" x14ac:dyDescent="0.3">
      <c r="B709" s="1"/>
      <c r="C709" s="1"/>
      <c r="D709" s="1"/>
      <c r="E709" s="1"/>
      <c r="F709" s="1"/>
      <c r="G709" s="1"/>
      <c r="H709" s="1"/>
      <c r="I709" s="1"/>
      <c r="J709" s="1"/>
      <c r="K709" s="1"/>
      <c r="L709" s="1"/>
      <c r="M709" s="1"/>
      <c r="N709" s="1"/>
      <c r="O709" s="1"/>
    </row>
    <row r="710" spans="2:15" x14ac:dyDescent="0.3">
      <c r="B710" s="1"/>
      <c r="C710" s="1"/>
      <c r="D710" s="1"/>
      <c r="E710" s="1"/>
      <c r="F710" s="1"/>
      <c r="G710" s="1"/>
      <c r="H710" s="1"/>
      <c r="I710" s="1"/>
      <c r="J710" s="1"/>
      <c r="K710" s="1"/>
      <c r="L710" s="1"/>
      <c r="M710" s="1"/>
      <c r="N710" s="1"/>
      <c r="O710" s="1"/>
    </row>
    <row r="711" spans="2:15" x14ac:dyDescent="0.3">
      <c r="B711" s="1"/>
      <c r="C711" s="1"/>
      <c r="D711" s="1"/>
      <c r="E711" s="1"/>
      <c r="F711" s="1"/>
      <c r="G711" s="1"/>
      <c r="H711" s="1"/>
      <c r="I711" s="1"/>
      <c r="J711" s="1"/>
      <c r="K711" s="1"/>
      <c r="L711" s="1"/>
      <c r="M711" s="1"/>
      <c r="N711" s="1"/>
      <c r="O711" s="1"/>
    </row>
    <row r="712" spans="2:15" x14ac:dyDescent="0.3">
      <c r="B712" s="1"/>
      <c r="C712" s="1"/>
      <c r="D712" s="1"/>
      <c r="E712" s="1"/>
      <c r="F712" s="1"/>
      <c r="G712" s="1"/>
      <c r="H712" s="1"/>
      <c r="I712" s="1"/>
      <c r="J712" s="1"/>
      <c r="K712" s="1"/>
      <c r="L712" s="1"/>
      <c r="M712" s="1"/>
      <c r="N712" s="1"/>
      <c r="O712" s="1"/>
    </row>
    <row r="713" spans="2:15" x14ac:dyDescent="0.3">
      <c r="B713" s="1"/>
      <c r="C713" s="1"/>
      <c r="D713" s="1"/>
      <c r="E713" s="1"/>
      <c r="F713" s="1"/>
      <c r="G713" s="1"/>
      <c r="H713" s="1"/>
      <c r="I713" s="1"/>
      <c r="J713" s="1"/>
      <c r="K713" s="1"/>
      <c r="L713" s="1"/>
      <c r="M713" s="1"/>
      <c r="N713" s="1"/>
      <c r="O713" s="1"/>
    </row>
    <row r="714" spans="2:15" x14ac:dyDescent="0.3">
      <c r="B714" s="1"/>
      <c r="C714" s="1"/>
      <c r="D714" s="1"/>
      <c r="E714" s="1"/>
      <c r="F714" s="1"/>
      <c r="G714" s="1"/>
      <c r="H714" s="1"/>
      <c r="I714" s="1"/>
      <c r="J714" s="1"/>
      <c r="K714" s="1"/>
      <c r="L714" s="1"/>
      <c r="M714" s="1"/>
      <c r="N714" s="1"/>
      <c r="O714" s="1"/>
    </row>
    <row r="715" spans="2:15" x14ac:dyDescent="0.3">
      <c r="B715" s="1"/>
      <c r="C715" s="1"/>
      <c r="D715" s="1"/>
      <c r="E715" s="1"/>
      <c r="F715" s="1"/>
      <c r="G715" s="1"/>
      <c r="H715" s="1"/>
      <c r="I715" s="1"/>
      <c r="J715" s="1"/>
      <c r="K715" s="1"/>
      <c r="L715" s="1"/>
      <c r="M715" s="1"/>
      <c r="N715" s="1"/>
      <c r="O715" s="1"/>
    </row>
    <row r="716" spans="2:15" x14ac:dyDescent="0.3">
      <c r="B716" s="1"/>
      <c r="C716" s="1"/>
      <c r="D716" s="1"/>
      <c r="E716" s="1"/>
      <c r="F716" s="1"/>
      <c r="G716" s="1"/>
      <c r="H716" s="1"/>
      <c r="I716" s="1"/>
      <c r="J716" s="1"/>
      <c r="K716" s="1"/>
      <c r="L716" s="1"/>
      <c r="M716" s="1"/>
      <c r="N716" s="1"/>
      <c r="O716" s="1"/>
    </row>
    <row r="717" spans="2:15" x14ac:dyDescent="0.3">
      <c r="B717" s="1"/>
      <c r="C717" s="1"/>
      <c r="D717" s="1"/>
      <c r="E717" s="1"/>
      <c r="F717" s="1"/>
      <c r="G717" s="1"/>
      <c r="H717" s="1"/>
      <c r="I717" s="1"/>
      <c r="J717" s="1"/>
      <c r="K717" s="1"/>
      <c r="L717" s="1"/>
      <c r="M717" s="1"/>
      <c r="N717" s="1"/>
      <c r="O717" s="1"/>
    </row>
    <row r="718" spans="2:15" x14ac:dyDescent="0.3">
      <c r="B718" s="1"/>
      <c r="C718" s="1"/>
      <c r="D718" s="1"/>
      <c r="E718" s="1"/>
      <c r="F718" s="1"/>
      <c r="G718" s="1"/>
      <c r="H718" s="1"/>
      <c r="I718" s="1"/>
      <c r="J718" s="1"/>
      <c r="K718" s="1"/>
      <c r="L718" s="1"/>
      <c r="M718" s="1"/>
      <c r="N718" s="1"/>
      <c r="O718" s="1"/>
    </row>
    <row r="719" spans="2:15" x14ac:dyDescent="0.3">
      <c r="B719" s="1"/>
      <c r="C719" s="1"/>
      <c r="D719" s="1"/>
      <c r="E719" s="1"/>
      <c r="F719" s="1"/>
      <c r="G719" s="1"/>
      <c r="H719" s="1"/>
      <c r="I719" s="1"/>
      <c r="J719" s="1"/>
      <c r="K719" s="1"/>
      <c r="L719" s="1"/>
      <c r="M719" s="1"/>
      <c r="N719" s="1"/>
      <c r="O719" s="1"/>
    </row>
    <row r="720" spans="2:15" x14ac:dyDescent="0.3">
      <c r="B720" s="1"/>
      <c r="C720" s="1"/>
      <c r="D720" s="1"/>
      <c r="E720" s="1"/>
      <c r="F720" s="1"/>
      <c r="G720" s="1"/>
      <c r="H720" s="1"/>
      <c r="I720" s="1"/>
      <c r="J720" s="1"/>
      <c r="K720" s="1"/>
      <c r="L720" s="1"/>
      <c r="M720" s="1"/>
      <c r="N720" s="1"/>
      <c r="O720" s="1"/>
    </row>
    <row r="721" spans="2:15" x14ac:dyDescent="0.3">
      <c r="B721" s="1"/>
      <c r="C721" s="1"/>
      <c r="D721" s="1"/>
      <c r="E721" s="1"/>
      <c r="F721" s="1"/>
      <c r="G721" s="1"/>
      <c r="H721" s="1"/>
      <c r="I721" s="1"/>
      <c r="J721" s="1"/>
      <c r="K721" s="1"/>
      <c r="L721" s="1"/>
      <c r="M721" s="1"/>
      <c r="N721" s="1"/>
      <c r="O721" s="1"/>
    </row>
    <row r="722" spans="2:15" x14ac:dyDescent="0.3">
      <c r="B722" s="1"/>
      <c r="C722" s="1"/>
      <c r="D722" s="1"/>
      <c r="E722" s="1"/>
      <c r="F722" s="1"/>
      <c r="G722" s="1"/>
      <c r="H722" s="1"/>
      <c r="I722" s="1"/>
      <c r="J722" s="1"/>
      <c r="K722" s="1"/>
      <c r="L722" s="1"/>
      <c r="M722" s="1"/>
      <c r="N722" s="1"/>
      <c r="O722" s="1"/>
    </row>
    <row r="723" spans="2:15" x14ac:dyDescent="0.3">
      <c r="B723" s="1"/>
      <c r="C723" s="1"/>
      <c r="D723" s="1"/>
      <c r="E723" s="1"/>
      <c r="F723" s="1"/>
      <c r="G723" s="1"/>
      <c r="H723" s="1"/>
      <c r="I723" s="1"/>
      <c r="J723" s="1"/>
      <c r="K723" s="1"/>
      <c r="L723" s="1"/>
      <c r="M723" s="1"/>
      <c r="N723" s="1"/>
      <c r="O723" s="1"/>
    </row>
    <row r="724" spans="2:15" x14ac:dyDescent="0.3">
      <c r="B724" s="1"/>
      <c r="C724" s="1"/>
      <c r="D724" s="1"/>
      <c r="E724" s="1"/>
      <c r="F724" s="1"/>
      <c r="G724" s="1"/>
      <c r="H724" s="1"/>
      <c r="I724" s="1"/>
      <c r="J724" s="1"/>
      <c r="K724" s="1"/>
      <c r="L724" s="1"/>
      <c r="M724" s="1"/>
      <c r="N724" s="1"/>
      <c r="O724" s="1"/>
    </row>
    <row r="725" spans="2:15" x14ac:dyDescent="0.3">
      <c r="B725" s="1"/>
      <c r="C725" s="1"/>
      <c r="D725" s="1"/>
      <c r="E725" s="1"/>
      <c r="F725" s="1"/>
      <c r="G725" s="1"/>
      <c r="H725" s="1"/>
      <c r="I725" s="1"/>
      <c r="J725" s="1"/>
      <c r="K725" s="1"/>
      <c r="L725" s="1"/>
      <c r="M725" s="1"/>
      <c r="N725" s="1"/>
      <c r="O725" s="1"/>
    </row>
    <row r="726" spans="2:15" x14ac:dyDescent="0.3">
      <c r="B726" s="1"/>
      <c r="C726" s="1"/>
      <c r="D726" s="1"/>
      <c r="E726" s="1"/>
      <c r="F726" s="1"/>
      <c r="G726" s="1"/>
      <c r="H726" s="1"/>
      <c r="I726" s="1"/>
      <c r="J726" s="1"/>
      <c r="K726" s="1"/>
      <c r="L726" s="1"/>
      <c r="M726" s="1"/>
      <c r="N726" s="1"/>
      <c r="O726" s="1"/>
    </row>
    <row r="727" spans="2:15" x14ac:dyDescent="0.3">
      <c r="B727" s="1"/>
      <c r="C727" s="1"/>
      <c r="D727" s="1"/>
      <c r="E727" s="1"/>
      <c r="F727" s="1"/>
      <c r="G727" s="1"/>
      <c r="H727" s="1"/>
      <c r="I727" s="1"/>
      <c r="J727" s="1"/>
      <c r="K727" s="1"/>
      <c r="L727" s="1"/>
      <c r="M727" s="1"/>
      <c r="N727" s="1"/>
      <c r="O727" s="1"/>
    </row>
    <row r="728" spans="2:15" x14ac:dyDescent="0.3">
      <c r="B728" s="1"/>
      <c r="C728" s="1"/>
      <c r="D728" s="1"/>
      <c r="E728" s="1"/>
      <c r="F728" s="1"/>
      <c r="G728" s="1"/>
      <c r="H728" s="1"/>
      <c r="I728" s="1"/>
      <c r="J728" s="1"/>
      <c r="K728" s="1"/>
      <c r="L728" s="1"/>
      <c r="M728" s="1"/>
      <c r="N728" s="1"/>
      <c r="O728" s="1"/>
    </row>
    <row r="729" spans="2:15" x14ac:dyDescent="0.3">
      <c r="B729" s="1"/>
      <c r="C729" s="1"/>
      <c r="D729" s="1"/>
      <c r="E729" s="1"/>
      <c r="F729" s="1"/>
      <c r="G729" s="1"/>
      <c r="H729" s="1"/>
      <c r="I729" s="1"/>
      <c r="J729" s="1"/>
      <c r="K729" s="1"/>
      <c r="L729" s="1"/>
      <c r="M729" s="1"/>
      <c r="N729" s="1"/>
      <c r="O729" s="1"/>
    </row>
    <row r="730" spans="2:15" x14ac:dyDescent="0.3">
      <c r="B730" s="1"/>
      <c r="C730" s="1"/>
      <c r="D730" s="1"/>
      <c r="E730" s="1"/>
      <c r="F730" s="1"/>
      <c r="G730" s="1"/>
      <c r="H730" s="1"/>
      <c r="I730" s="1"/>
      <c r="J730" s="1"/>
      <c r="K730" s="1"/>
      <c r="L730" s="1"/>
      <c r="M730" s="1"/>
      <c r="N730" s="1"/>
      <c r="O730" s="1"/>
    </row>
    <row r="731" spans="2:15" x14ac:dyDescent="0.3">
      <c r="B731" s="1"/>
      <c r="C731" s="1"/>
      <c r="D731" s="1"/>
      <c r="E731" s="1"/>
      <c r="F731" s="1"/>
      <c r="G731" s="1"/>
      <c r="H731" s="1"/>
      <c r="I731" s="1"/>
      <c r="J731" s="1"/>
      <c r="K731" s="1"/>
      <c r="L731" s="1"/>
      <c r="M731" s="1"/>
      <c r="N731" s="1"/>
      <c r="O731" s="1"/>
    </row>
    <row r="732" spans="2:15" x14ac:dyDescent="0.3">
      <c r="B732" s="1"/>
      <c r="C732" s="1"/>
      <c r="D732" s="1"/>
      <c r="E732" s="1"/>
      <c r="F732" s="1"/>
      <c r="G732" s="1"/>
      <c r="H732" s="1"/>
      <c r="I732" s="1"/>
      <c r="J732" s="1"/>
      <c r="K732" s="1"/>
      <c r="L732" s="1"/>
      <c r="M732" s="1"/>
      <c r="N732" s="1"/>
      <c r="O732" s="1"/>
    </row>
    <row r="733" spans="2:15" x14ac:dyDescent="0.3">
      <c r="B733" s="1"/>
      <c r="C733" s="1"/>
      <c r="D733" s="1"/>
      <c r="E733" s="1"/>
      <c r="F733" s="1"/>
      <c r="G733" s="1"/>
      <c r="H733" s="1"/>
      <c r="I733" s="1"/>
      <c r="J733" s="1"/>
      <c r="K733" s="1"/>
      <c r="L733" s="1"/>
      <c r="M733" s="1"/>
      <c r="N733" s="1"/>
      <c r="O733" s="1"/>
    </row>
    <row r="734" spans="2:15" x14ac:dyDescent="0.3">
      <c r="B734" s="1"/>
      <c r="C734" s="1"/>
      <c r="D734" s="1"/>
      <c r="E734" s="1"/>
      <c r="F734" s="1"/>
      <c r="G734" s="1"/>
      <c r="H734" s="1"/>
      <c r="I734" s="1"/>
      <c r="J734" s="1"/>
      <c r="K734" s="1"/>
      <c r="L734" s="1"/>
      <c r="M734" s="1"/>
      <c r="N734" s="1"/>
      <c r="O734" s="1"/>
    </row>
    <row r="735" spans="2:15" x14ac:dyDescent="0.3">
      <c r="B735" s="1"/>
      <c r="C735" s="1"/>
      <c r="D735" s="1"/>
      <c r="E735" s="1"/>
      <c r="F735" s="1"/>
      <c r="G735" s="1"/>
      <c r="H735" s="1"/>
      <c r="I735" s="1"/>
      <c r="J735" s="1"/>
      <c r="K735" s="1"/>
      <c r="L735" s="1"/>
      <c r="M735" s="1"/>
      <c r="N735" s="1"/>
      <c r="O735" s="1"/>
    </row>
    <row r="736" spans="2:15" x14ac:dyDescent="0.3">
      <c r="B736" s="1"/>
      <c r="C736" s="1"/>
      <c r="D736" s="1"/>
      <c r="E736" s="1"/>
      <c r="F736" s="1"/>
      <c r="G736" s="1"/>
      <c r="H736" s="1"/>
      <c r="I736" s="1"/>
      <c r="J736" s="1"/>
      <c r="K736" s="1"/>
      <c r="L736" s="1"/>
      <c r="M736" s="1"/>
      <c r="N736" s="1"/>
      <c r="O736" s="1"/>
    </row>
    <row r="737" spans="2:15" x14ac:dyDescent="0.3">
      <c r="B737" s="1"/>
      <c r="C737" s="1"/>
      <c r="D737" s="1"/>
      <c r="E737" s="1"/>
      <c r="F737" s="1"/>
      <c r="G737" s="1"/>
      <c r="H737" s="1"/>
      <c r="I737" s="1"/>
      <c r="J737" s="1"/>
      <c r="K737" s="1"/>
      <c r="L737" s="1"/>
      <c r="M737" s="1"/>
      <c r="N737" s="1"/>
      <c r="O737" s="1"/>
    </row>
    <row r="738" spans="2:15" x14ac:dyDescent="0.3">
      <c r="B738" s="1"/>
      <c r="C738" s="1"/>
      <c r="D738" s="1"/>
      <c r="E738" s="1"/>
      <c r="F738" s="1"/>
      <c r="G738" s="1"/>
      <c r="H738" s="1"/>
      <c r="I738" s="1"/>
      <c r="J738" s="1"/>
      <c r="K738" s="1"/>
      <c r="L738" s="1"/>
      <c r="M738" s="1"/>
      <c r="N738" s="1"/>
      <c r="O738" s="1"/>
    </row>
    <row r="739" spans="2:15" x14ac:dyDescent="0.3">
      <c r="B739" s="1"/>
      <c r="C739" s="1"/>
      <c r="D739" s="1"/>
      <c r="E739" s="1"/>
      <c r="F739" s="1"/>
      <c r="G739" s="1"/>
      <c r="H739" s="1"/>
      <c r="I739" s="1"/>
      <c r="J739" s="1"/>
      <c r="K739" s="1"/>
      <c r="L739" s="1"/>
      <c r="M739" s="1"/>
      <c r="N739" s="1"/>
      <c r="O739" s="1"/>
    </row>
    <row r="740" spans="2:15" x14ac:dyDescent="0.3">
      <c r="B740" s="1"/>
      <c r="C740" s="1"/>
      <c r="D740" s="1"/>
      <c r="E740" s="1"/>
      <c r="F740" s="1"/>
      <c r="G740" s="1"/>
      <c r="H740" s="1"/>
      <c r="I740" s="1"/>
      <c r="J740" s="1"/>
      <c r="K740" s="1"/>
      <c r="L740" s="1"/>
      <c r="M740" s="1"/>
      <c r="N740" s="1"/>
      <c r="O740" s="1"/>
    </row>
    <row r="741" spans="2:15" x14ac:dyDescent="0.3">
      <c r="B741" s="1"/>
      <c r="C741" s="1"/>
      <c r="D741" s="1"/>
      <c r="E741" s="1"/>
      <c r="F741" s="1"/>
      <c r="G741" s="1"/>
      <c r="H741" s="1"/>
      <c r="I741" s="1"/>
      <c r="J741" s="1"/>
      <c r="K741" s="1"/>
      <c r="L741" s="1"/>
      <c r="M741" s="1"/>
      <c r="N741" s="1"/>
      <c r="O741" s="1"/>
    </row>
    <row r="742" spans="2:15" x14ac:dyDescent="0.3">
      <c r="B742" s="1"/>
      <c r="C742" s="1"/>
      <c r="D742" s="1"/>
      <c r="E742" s="1"/>
      <c r="F742" s="1"/>
      <c r="G742" s="1"/>
      <c r="H742" s="1"/>
      <c r="I742" s="1"/>
      <c r="J742" s="1"/>
      <c r="K742" s="1"/>
      <c r="L742" s="1"/>
      <c r="M742" s="1"/>
      <c r="N742" s="1"/>
      <c r="O742" s="1"/>
    </row>
    <row r="743" spans="2:15" x14ac:dyDescent="0.3">
      <c r="B743" s="1"/>
      <c r="C743" s="1"/>
      <c r="D743" s="1"/>
      <c r="E743" s="1"/>
      <c r="F743" s="1"/>
      <c r="G743" s="1"/>
      <c r="H743" s="1"/>
      <c r="I743" s="1"/>
      <c r="J743" s="1"/>
      <c r="K743" s="1"/>
      <c r="L743" s="1"/>
      <c r="M743" s="1"/>
      <c r="N743" s="1"/>
      <c r="O743" s="1"/>
    </row>
    <row r="744" spans="2:15" x14ac:dyDescent="0.3">
      <c r="B744" s="1"/>
      <c r="C744" s="1"/>
      <c r="D744" s="1"/>
      <c r="E744" s="1"/>
      <c r="F744" s="1"/>
      <c r="G744" s="1"/>
      <c r="H744" s="1"/>
      <c r="I744" s="1"/>
      <c r="J744" s="1"/>
      <c r="K744" s="1"/>
      <c r="L744" s="1"/>
      <c r="M744" s="1"/>
      <c r="N744" s="1"/>
      <c r="O744" s="1"/>
    </row>
    <row r="745" spans="2:15" x14ac:dyDescent="0.3">
      <c r="B745" s="1"/>
      <c r="C745" s="1"/>
      <c r="D745" s="1"/>
      <c r="E745" s="1"/>
      <c r="F745" s="1"/>
      <c r="G745" s="1"/>
      <c r="H745" s="1"/>
      <c r="I745" s="1"/>
      <c r="J745" s="1"/>
      <c r="K745" s="1"/>
      <c r="L745" s="1"/>
      <c r="M745" s="1"/>
      <c r="N745" s="1"/>
      <c r="O745" s="1"/>
    </row>
    <row r="746" spans="2:15" x14ac:dyDescent="0.3">
      <c r="B746" s="1"/>
      <c r="C746" s="1"/>
      <c r="D746" s="1"/>
      <c r="E746" s="1"/>
      <c r="F746" s="1"/>
      <c r="G746" s="1"/>
      <c r="H746" s="1"/>
      <c r="I746" s="1"/>
      <c r="J746" s="1"/>
      <c r="K746" s="1"/>
      <c r="L746" s="1"/>
      <c r="M746" s="1"/>
      <c r="N746" s="1"/>
      <c r="O746" s="1"/>
    </row>
    <row r="747" spans="2:15" x14ac:dyDescent="0.3">
      <c r="B747" s="1"/>
      <c r="C747" s="1"/>
      <c r="D747" s="1"/>
      <c r="E747" s="1"/>
      <c r="F747" s="1"/>
      <c r="G747" s="1"/>
      <c r="H747" s="1"/>
      <c r="I747" s="1"/>
      <c r="J747" s="1"/>
      <c r="K747" s="1"/>
      <c r="L747" s="1"/>
      <c r="M747" s="1"/>
      <c r="N747" s="1"/>
      <c r="O747" s="1"/>
    </row>
    <row r="748" spans="2:15" x14ac:dyDescent="0.3">
      <c r="B748" s="1"/>
      <c r="C748" s="1"/>
      <c r="D748" s="1"/>
      <c r="E748" s="1"/>
      <c r="F748" s="1"/>
      <c r="G748" s="1"/>
      <c r="H748" s="1"/>
      <c r="I748" s="1"/>
      <c r="J748" s="1"/>
      <c r="K748" s="1"/>
      <c r="L748" s="1"/>
      <c r="M748" s="1"/>
      <c r="N748" s="1"/>
      <c r="O748" s="1"/>
    </row>
    <row r="749" spans="2:15" x14ac:dyDescent="0.3">
      <c r="B749" s="1"/>
      <c r="C749" s="1"/>
      <c r="D749" s="1"/>
      <c r="E749" s="1"/>
      <c r="F749" s="1"/>
      <c r="G749" s="1"/>
      <c r="H749" s="1"/>
      <c r="I749" s="1"/>
      <c r="J749" s="1"/>
      <c r="K749" s="1"/>
      <c r="L749" s="1"/>
      <c r="M749" s="1"/>
      <c r="N749" s="1"/>
      <c r="O749" s="1"/>
    </row>
    <row r="750" spans="2:15" x14ac:dyDescent="0.3">
      <c r="B750" s="1"/>
      <c r="C750" s="1"/>
      <c r="D750" s="1"/>
      <c r="E750" s="1"/>
      <c r="F750" s="1"/>
      <c r="G750" s="1"/>
      <c r="H750" s="1"/>
      <c r="I750" s="1"/>
      <c r="J750" s="1"/>
      <c r="K750" s="1"/>
      <c r="L750" s="1"/>
      <c r="M750" s="1"/>
      <c r="N750" s="1"/>
      <c r="O750" s="1"/>
    </row>
    <row r="751" spans="2:15" x14ac:dyDescent="0.3">
      <c r="B751" s="1"/>
      <c r="C751" s="1"/>
      <c r="D751" s="1"/>
      <c r="E751" s="1"/>
      <c r="F751" s="1"/>
      <c r="G751" s="1"/>
      <c r="H751" s="1"/>
      <c r="I751" s="1"/>
      <c r="J751" s="1"/>
      <c r="K751" s="1"/>
      <c r="L751" s="1"/>
      <c r="M751" s="1"/>
      <c r="N751" s="1"/>
      <c r="O751" s="1"/>
    </row>
    <row r="752" spans="2:15" x14ac:dyDescent="0.3">
      <c r="B752" s="1"/>
      <c r="C752" s="1"/>
      <c r="D752" s="1"/>
      <c r="E752" s="1"/>
      <c r="F752" s="1"/>
      <c r="G752" s="1"/>
      <c r="H752" s="1"/>
      <c r="I752" s="1"/>
      <c r="J752" s="1"/>
      <c r="K752" s="1"/>
      <c r="L752" s="1"/>
      <c r="M752" s="1"/>
      <c r="N752" s="1"/>
      <c r="O752" s="1"/>
    </row>
    <row r="753" spans="2:15" x14ac:dyDescent="0.3">
      <c r="B753" s="1"/>
      <c r="C753" s="1"/>
      <c r="D753" s="1"/>
      <c r="E753" s="1"/>
      <c r="F753" s="1"/>
      <c r="G753" s="1"/>
      <c r="H753" s="1"/>
      <c r="I753" s="1"/>
      <c r="J753" s="1"/>
      <c r="K753" s="1"/>
      <c r="L753" s="1"/>
      <c r="M753" s="1"/>
      <c r="N753" s="1"/>
      <c r="O753" s="1"/>
    </row>
    <row r="754" spans="2:15" x14ac:dyDescent="0.3">
      <c r="B754" s="1"/>
      <c r="C754" s="1"/>
      <c r="D754" s="1"/>
      <c r="E754" s="1"/>
      <c r="F754" s="1"/>
      <c r="G754" s="1"/>
      <c r="H754" s="1"/>
      <c r="I754" s="1"/>
      <c r="J754" s="1"/>
      <c r="K754" s="1"/>
      <c r="L754" s="1"/>
      <c r="M754" s="1"/>
      <c r="N754" s="1"/>
      <c r="O754" s="1"/>
    </row>
    <row r="755" spans="2:15" x14ac:dyDescent="0.3">
      <c r="B755" s="1"/>
      <c r="C755" s="1"/>
      <c r="D755" s="1"/>
      <c r="E755" s="1"/>
      <c r="F755" s="1"/>
      <c r="G755" s="1"/>
      <c r="H755" s="1"/>
      <c r="I755" s="1"/>
      <c r="J755" s="1"/>
      <c r="K755" s="1"/>
      <c r="L755" s="1"/>
      <c r="M755" s="1"/>
      <c r="N755" s="1"/>
      <c r="O755" s="1"/>
    </row>
    <row r="756" spans="2:15" x14ac:dyDescent="0.3">
      <c r="B756" s="1"/>
      <c r="C756" s="1"/>
      <c r="D756" s="1"/>
      <c r="E756" s="1"/>
      <c r="F756" s="1"/>
      <c r="G756" s="1"/>
      <c r="H756" s="1"/>
      <c r="I756" s="1"/>
      <c r="J756" s="1"/>
      <c r="K756" s="1"/>
      <c r="L756" s="1"/>
      <c r="M756" s="1"/>
      <c r="N756" s="1"/>
      <c r="O756" s="1"/>
    </row>
    <row r="757" spans="2:15" x14ac:dyDescent="0.3">
      <c r="B757" s="1"/>
      <c r="C757" s="1"/>
      <c r="D757" s="1"/>
      <c r="E757" s="1"/>
      <c r="F757" s="1"/>
      <c r="G757" s="1"/>
      <c r="H757" s="1"/>
      <c r="I757" s="1"/>
      <c r="J757" s="1"/>
      <c r="K757" s="1"/>
      <c r="L757" s="1"/>
      <c r="M757" s="1"/>
      <c r="N757" s="1"/>
      <c r="O757" s="1"/>
    </row>
    <row r="758" spans="2:15" x14ac:dyDescent="0.3">
      <c r="B758" s="1"/>
      <c r="C758" s="1"/>
      <c r="D758" s="1"/>
      <c r="E758" s="1"/>
      <c r="F758" s="1"/>
      <c r="G758" s="1"/>
      <c r="H758" s="1"/>
      <c r="I758" s="1"/>
      <c r="J758" s="1"/>
      <c r="K758" s="1"/>
      <c r="L758" s="1"/>
      <c r="M758" s="1"/>
      <c r="N758" s="1"/>
      <c r="O758" s="1"/>
    </row>
    <row r="759" spans="2:15" x14ac:dyDescent="0.3">
      <c r="B759" s="1"/>
      <c r="C759" s="1"/>
      <c r="D759" s="1"/>
      <c r="E759" s="1"/>
      <c r="F759" s="1"/>
      <c r="G759" s="1"/>
      <c r="H759" s="1"/>
      <c r="I759" s="1"/>
      <c r="J759" s="1"/>
      <c r="K759" s="1"/>
      <c r="L759" s="1"/>
      <c r="M759" s="1"/>
      <c r="N759" s="1"/>
      <c r="O759" s="1"/>
    </row>
    <row r="760" spans="2:15" x14ac:dyDescent="0.3">
      <c r="B760" s="1"/>
      <c r="C760" s="1"/>
      <c r="D760" s="1"/>
      <c r="E760" s="1"/>
      <c r="F760" s="1"/>
      <c r="G760" s="1"/>
      <c r="H760" s="1"/>
      <c r="I760" s="1"/>
      <c r="J760" s="1"/>
      <c r="K760" s="1"/>
      <c r="L760" s="1"/>
      <c r="M760" s="1"/>
      <c r="N760" s="1"/>
      <c r="O760" s="1"/>
    </row>
    <row r="761" spans="2:15" x14ac:dyDescent="0.3">
      <c r="B761" s="1"/>
      <c r="C761" s="1"/>
      <c r="D761" s="1"/>
      <c r="E761" s="1"/>
      <c r="F761" s="1"/>
      <c r="G761" s="1"/>
      <c r="H761" s="1"/>
      <c r="I761" s="1"/>
      <c r="J761" s="1"/>
      <c r="K761" s="1"/>
      <c r="L761" s="1"/>
      <c r="M761" s="1"/>
      <c r="N761" s="1"/>
      <c r="O761" s="1"/>
    </row>
    <row r="762" spans="2:15" x14ac:dyDescent="0.3">
      <c r="B762" s="1"/>
      <c r="C762" s="1"/>
      <c r="D762" s="1"/>
      <c r="E762" s="1"/>
      <c r="F762" s="1"/>
      <c r="G762" s="1"/>
      <c r="H762" s="1"/>
      <c r="I762" s="1"/>
      <c r="J762" s="1"/>
      <c r="K762" s="1"/>
      <c r="L762" s="1"/>
      <c r="M762" s="1"/>
      <c r="N762" s="1"/>
      <c r="O762" s="1"/>
    </row>
    <row r="763" spans="2:15" x14ac:dyDescent="0.3">
      <c r="B763" s="1"/>
      <c r="C763" s="1"/>
      <c r="D763" s="1"/>
      <c r="E763" s="1"/>
      <c r="F763" s="1"/>
      <c r="G763" s="1"/>
      <c r="H763" s="1"/>
      <c r="I763" s="1"/>
      <c r="J763" s="1"/>
      <c r="K763" s="1"/>
      <c r="L763" s="1"/>
      <c r="M763" s="1"/>
      <c r="N763" s="1"/>
      <c r="O763" s="1"/>
    </row>
    <row r="764" spans="2:15" x14ac:dyDescent="0.3">
      <c r="B764" s="1"/>
      <c r="C764" s="1"/>
      <c r="D764" s="1"/>
      <c r="E764" s="1"/>
      <c r="F764" s="1"/>
      <c r="G764" s="1"/>
      <c r="H764" s="1"/>
      <c r="I764" s="1"/>
      <c r="J764" s="1"/>
      <c r="K764" s="1"/>
      <c r="L764" s="1"/>
      <c r="M764" s="1"/>
      <c r="N764" s="1"/>
      <c r="O764" s="1"/>
    </row>
    <row r="765" spans="2:15" x14ac:dyDescent="0.3">
      <c r="B765" s="1"/>
      <c r="C765" s="1"/>
      <c r="D765" s="1"/>
      <c r="E765" s="1"/>
      <c r="F765" s="1"/>
      <c r="G765" s="1"/>
      <c r="H765" s="1"/>
      <c r="I765" s="1"/>
      <c r="J765" s="1"/>
      <c r="K765" s="1"/>
      <c r="L765" s="1"/>
      <c r="M765" s="1"/>
      <c r="N765" s="1"/>
      <c r="O765" s="1"/>
    </row>
    <row r="766" spans="2:15" x14ac:dyDescent="0.3">
      <c r="B766" s="1"/>
      <c r="C766" s="1"/>
      <c r="D766" s="1"/>
      <c r="E766" s="1"/>
      <c r="F766" s="1"/>
      <c r="G766" s="1"/>
      <c r="H766" s="1"/>
      <c r="I766" s="1"/>
      <c r="J766" s="1"/>
      <c r="K766" s="1"/>
      <c r="L766" s="1"/>
      <c r="M766" s="1"/>
      <c r="N766" s="1"/>
      <c r="O766" s="1"/>
    </row>
    <row r="767" spans="2:15" x14ac:dyDescent="0.3">
      <c r="B767" s="1"/>
      <c r="C767" s="1"/>
      <c r="D767" s="1"/>
      <c r="E767" s="1"/>
      <c r="F767" s="1"/>
      <c r="G767" s="1"/>
      <c r="H767" s="1"/>
      <c r="I767" s="1"/>
      <c r="J767" s="1"/>
      <c r="K767" s="1"/>
      <c r="L767" s="1"/>
      <c r="M767" s="1"/>
      <c r="N767" s="1"/>
      <c r="O767" s="1"/>
    </row>
    <row r="768" spans="2:15" x14ac:dyDescent="0.3">
      <c r="B768" s="1"/>
      <c r="C768" s="1"/>
      <c r="D768" s="1"/>
      <c r="E768" s="1"/>
      <c r="F768" s="1"/>
      <c r="G768" s="1"/>
      <c r="H768" s="1"/>
      <c r="I768" s="1"/>
      <c r="J768" s="1"/>
      <c r="K768" s="1"/>
      <c r="L768" s="1"/>
      <c r="M768" s="1"/>
      <c r="N768" s="1"/>
      <c r="O768" s="1"/>
    </row>
    <row r="769" spans="2:15" x14ac:dyDescent="0.3">
      <c r="B769" s="1"/>
      <c r="C769" s="1"/>
      <c r="D769" s="1"/>
      <c r="E769" s="1"/>
      <c r="F769" s="1"/>
      <c r="G769" s="1"/>
      <c r="H769" s="1"/>
      <c r="I769" s="1"/>
      <c r="J769" s="1"/>
      <c r="K769" s="1"/>
      <c r="L769" s="1"/>
      <c r="M769" s="1"/>
      <c r="N769" s="1"/>
      <c r="O769" s="1"/>
    </row>
    <row r="770" spans="2:15" x14ac:dyDescent="0.3">
      <c r="B770" s="1"/>
      <c r="C770" s="1"/>
      <c r="D770" s="1"/>
      <c r="E770" s="1"/>
      <c r="F770" s="1"/>
      <c r="G770" s="1"/>
      <c r="H770" s="1"/>
      <c r="I770" s="1"/>
      <c r="J770" s="1"/>
      <c r="K770" s="1"/>
      <c r="L770" s="1"/>
      <c r="M770" s="1"/>
      <c r="N770" s="1"/>
      <c r="O770" s="1"/>
    </row>
    <row r="771" spans="2:15" x14ac:dyDescent="0.3">
      <c r="B771" s="1"/>
      <c r="C771" s="1"/>
      <c r="D771" s="1"/>
      <c r="E771" s="1"/>
      <c r="F771" s="1"/>
      <c r="G771" s="1"/>
      <c r="H771" s="1"/>
      <c r="I771" s="1"/>
      <c r="J771" s="1"/>
      <c r="K771" s="1"/>
      <c r="L771" s="1"/>
      <c r="M771" s="1"/>
      <c r="N771" s="1"/>
      <c r="O771" s="1"/>
    </row>
    <row r="772" spans="2:15" x14ac:dyDescent="0.3">
      <c r="B772" s="1"/>
      <c r="C772" s="1"/>
      <c r="D772" s="1"/>
      <c r="E772" s="1"/>
      <c r="F772" s="1"/>
      <c r="G772" s="1"/>
      <c r="H772" s="1"/>
      <c r="I772" s="1"/>
      <c r="J772" s="1"/>
      <c r="K772" s="1"/>
      <c r="L772" s="1"/>
      <c r="M772" s="1"/>
      <c r="N772" s="1"/>
      <c r="O772" s="1"/>
    </row>
    <row r="773" spans="2:15" x14ac:dyDescent="0.3">
      <c r="B773" s="1"/>
      <c r="C773" s="1"/>
      <c r="D773" s="1"/>
      <c r="E773" s="1"/>
      <c r="F773" s="1"/>
      <c r="G773" s="1"/>
      <c r="H773" s="1"/>
      <c r="I773" s="1"/>
      <c r="J773" s="1"/>
      <c r="K773" s="1"/>
      <c r="L773" s="1"/>
      <c r="M773" s="1"/>
      <c r="N773" s="1"/>
      <c r="O773" s="1"/>
    </row>
    <row r="774" spans="2:15" x14ac:dyDescent="0.3">
      <c r="B774" s="1"/>
      <c r="C774" s="1"/>
      <c r="D774" s="1"/>
      <c r="E774" s="1"/>
      <c r="F774" s="1"/>
      <c r="G774" s="1"/>
      <c r="H774" s="1"/>
      <c r="I774" s="1"/>
      <c r="J774" s="1"/>
      <c r="K774" s="1"/>
      <c r="L774" s="1"/>
      <c r="M774" s="1"/>
      <c r="N774" s="1"/>
      <c r="O774" s="1"/>
    </row>
    <row r="775" spans="2:15" x14ac:dyDescent="0.3">
      <c r="B775" s="1"/>
      <c r="C775" s="1"/>
      <c r="D775" s="1"/>
      <c r="E775" s="1"/>
      <c r="F775" s="1"/>
      <c r="G775" s="1"/>
      <c r="H775" s="1"/>
      <c r="I775" s="1"/>
      <c r="J775" s="1"/>
      <c r="K775" s="1"/>
      <c r="L775" s="1"/>
      <c r="M775" s="1"/>
      <c r="N775" s="1"/>
      <c r="O775" s="1"/>
    </row>
    <row r="776" spans="2:15" x14ac:dyDescent="0.3">
      <c r="B776" s="1"/>
      <c r="C776" s="1"/>
      <c r="D776" s="1"/>
      <c r="E776" s="1"/>
      <c r="F776" s="1"/>
      <c r="G776" s="1"/>
      <c r="H776" s="1"/>
      <c r="I776" s="1"/>
      <c r="J776" s="1"/>
      <c r="K776" s="1"/>
      <c r="L776" s="1"/>
      <c r="M776" s="1"/>
      <c r="N776" s="1"/>
      <c r="O776" s="1"/>
    </row>
    <row r="777" spans="2:15" x14ac:dyDescent="0.3">
      <c r="B777" s="1"/>
      <c r="C777" s="1"/>
      <c r="D777" s="1"/>
      <c r="E777" s="1"/>
      <c r="F777" s="1"/>
      <c r="G777" s="1"/>
      <c r="H777" s="1"/>
      <c r="I777" s="1"/>
      <c r="J777" s="1"/>
      <c r="K777" s="1"/>
      <c r="L777" s="1"/>
      <c r="M777" s="1"/>
      <c r="N777" s="1"/>
      <c r="O777" s="1"/>
    </row>
    <row r="778" spans="2:15" x14ac:dyDescent="0.3">
      <c r="B778" s="1"/>
      <c r="C778" s="1"/>
      <c r="D778" s="1"/>
      <c r="E778" s="1"/>
      <c r="F778" s="1"/>
      <c r="G778" s="1"/>
      <c r="H778" s="1"/>
      <c r="I778" s="1"/>
      <c r="J778" s="1"/>
      <c r="K778" s="1"/>
      <c r="L778" s="1"/>
      <c r="M778" s="1"/>
      <c r="N778" s="1"/>
      <c r="O778" s="1"/>
    </row>
    <row r="779" spans="2:15" x14ac:dyDescent="0.3">
      <c r="B779" s="1"/>
      <c r="C779" s="1"/>
      <c r="D779" s="1"/>
      <c r="E779" s="1"/>
      <c r="F779" s="1"/>
      <c r="G779" s="1"/>
      <c r="H779" s="1"/>
      <c r="I779" s="1"/>
      <c r="J779" s="1"/>
      <c r="K779" s="1"/>
      <c r="L779" s="1"/>
      <c r="M779" s="1"/>
      <c r="N779" s="1"/>
      <c r="O779" s="1"/>
    </row>
    <row r="780" spans="2:15" x14ac:dyDescent="0.3">
      <c r="B780" s="1"/>
      <c r="C780" s="1"/>
      <c r="D780" s="1"/>
      <c r="E780" s="1"/>
      <c r="F780" s="1"/>
      <c r="G780" s="1"/>
      <c r="H780" s="1"/>
      <c r="I780" s="1"/>
      <c r="J780" s="1"/>
      <c r="K780" s="1"/>
      <c r="L780" s="1"/>
      <c r="M780" s="1"/>
      <c r="N780" s="1"/>
      <c r="O780" s="1"/>
    </row>
    <row r="781" spans="2:15" x14ac:dyDescent="0.3">
      <c r="B781" s="1"/>
      <c r="C781" s="1"/>
      <c r="D781" s="1"/>
      <c r="E781" s="1"/>
      <c r="F781" s="1"/>
      <c r="G781" s="1"/>
      <c r="H781" s="1"/>
      <c r="I781" s="1"/>
      <c r="J781" s="1"/>
      <c r="K781" s="1"/>
      <c r="L781" s="1"/>
      <c r="M781" s="1"/>
      <c r="N781" s="1"/>
      <c r="O781" s="1"/>
    </row>
    <row r="782" spans="2:15" x14ac:dyDescent="0.3">
      <c r="B782" s="1"/>
      <c r="C782" s="1"/>
      <c r="D782" s="1"/>
      <c r="E782" s="1"/>
      <c r="F782" s="1"/>
      <c r="G782" s="1"/>
      <c r="H782" s="1"/>
      <c r="I782" s="1"/>
      <c r="J782" s="1"/>
      <c r="K782" s="1"/>
      <c r="L782" s="1"/>
      <c r="M782" s="1"/>
      <c r="N782" s="1"/>
      <c r="O782" s="1"/>
    </row>
    <row r="783" spans="2:15" x14ac:dyDescent="0.3">
      <c r="B783" s="1"/>
      <c r="C783" s="1"/>
      <c r="D783" s="1"/>
      <c r="E783" s="1"/>
      <c r="F783" s="1"/>
      <c r="G783" s="1"/>
      <c r="H783" s="1"/>
      <c r="I783" s="1"/>
      <c r="J783" s="1"/>
      <c r="K783" s="1"/>
      <c r="L783" s="1"/>
      <c r="M783" s="1"/>
      <c r="N783" s="1"/>
      <c r="O783" s="1"/>
    </row>
    <row r="784" spans="2:15" x14ac:dyDescent="0.3">
      <c r="B784" s="1"/>
      <c r="C784" s="1"/>
      <c r="D784" s="1"/>
      <c r="E784" s="1"/>
      <c r="F784" s="1"/>
      <c r="G784" s="1"/>
      <c r="H784" s="1"/>
      <c r="I784" s="1"/>
      <c r="J784" s="1"/>
      <c r="K784" s="1"/>
      <c r="L784" s="1"/>
      <c r="M784" s="1"/>
      <c r="N784" s="1"/>
      <c r="O784" s="1"/>
    </row>
    <row r="785" spans="2:15" x14ac:dyDescent="0.3">
      <c r="B785" s="1"/>
      <c r="C785" s="1"/>
      <c r="D785" s="1"/>
      <c r="E785" s="1"/>
      <c r="F785" s="1"/>
      <c r="G785" s="1"/>
      <c r="H785" s="1"/>
      <c r="I785" s="1"/>
      <c r="J785" s="1"/>
      <c r="K785" s="1"/>
      <c r="L785" s="1"/>
      <c r="M785" s="1"/>
      <c r="N785" s="1"/>
      <c r="O785" s="1"/>
    </row>
    <row r="786" spans="2:15" x14ac:dyDescent="0.3">
      <c r="B786" s="1"/>
      <c r="C786" s="1"/>
      <c r="D786" s="1"/>
      <c r="E786" s="1"/>
      <c r="F786" s="1"/>
      <c r="G786" s="1"/>
      <c r="H786" s="1"/>
      <c r="I786" s="1"/>
      <c r="J786" s="1"/>
      <c r="K786" s="1"/>
      <c r="L786" s="1"/>
      <c r="M786" s="1"/>
      <c r="N786" s="1"/>
      <c r="O786" s="1"/>
    </row>
    <row r="787" spans="2:15" x14ac:dyDescent="0.3">
      <c r="B787" s="1"/>
      <c r="C787" s="1"/>
      <c r="D787" s="1"/>
      <c r="E787" s="1"/>
      <c r="F787" s="1"/>
      <c r="G787" s="1"/>
      <c r="H787" s="1"/>
      <c r="I787" s="1"/>
      <c r="J787" s="1"/>
      <c r="K787" s="1"/>
      <c r="L787" s="1"/>
      <c r="M787" s="1"/>
      <c r="N787" s="1"/>
      <c r="O787" s="1"/>
    </row>
    <row r="788" spans="2:15" x14ac:dyDescent="0.3">
      <c r="B788" s="1"/>
      <c r="C788" s="1"/>
      <c r="D788" s="1"/>
      <c r="E788" s="1"/>
      <c r="F788" s="1"/>
      <c r="G788" s="1"/>
      <c r="H788" s="1"/>
      <c r="I788" s="1"/>
      <c r="J788" s="1"/>
      <c r="K788" s="1"/>
      <c r="L788" s="1"/>
      <c r="M788" s="1"/>
      <c r="N788" s="1"/>
      <c r="O788" s="1"/>
    </row>
    <row r="789" spans="2:15" x14ac:dyDescent="0.3">
      <c r="B789" s="1"/>
      <c r="C789" s="1"/>
      <c r="D789" s="1"/>
      <c r="E789" s="1"/>
      <c r="F789" s="1"/>
      <c r="G789" s="1"/>
      <c r="H789" s="1"/>
      <c r="I789" s="1"/>
      <c r="J789" s="1"/>
      <c r="K789" s="1"/>
      <c r="L789" s="1"/>
      <c r="M789" s="1"/>
      <c r="N789" s="1"/>
      <c r="O789" s="1"/>
    </row>
    <row r="790" spans="2:15" x14ac:dyDescent="0.3">
      <c r="B790" s="1"/>
      <c r="C790" s="1"/>
      <c r="D790" s="1"/>
      <c r="E790" s="1"/>
      <c r="F790" s="1"/>
      <c r="G790" s="1"/>
      <c r="H790" s="1"/>
      <c r="I790" s="1"/>
      <c r="J790" s="1"/>
      <c r="K790" s="1"/>
      <c r="L790" s="1"/>
      <c r="M790" s="1"/>
      <c r="N790" s="1"/>
      <c r="O790" s="1"/>
    </row>
    <row r="791" spans="2:15" x14ac:dyDescent="0.3">
      <c r="B791" s="1"/>
      <c r="C791" s="1"/>
      <c r="D791" s="1"/>
      <c r="E791" s="1"/>
      <c r="F791" s="1"/>
      <c r="G791" s="1"/>
      <c r="H791" s="1"/>
      <c r="I791" s="1"/>
      <c r="J791" s="1"/>
      <c r="K791" s="1"/>
      <c r="L791" s="1"/>
      <c r="M791" s="1"/>
      <c r="N791" s="1"/>
      <c r="O791" s="1"/>
    </row>
    <row r="792" spans="2:15" x14ac:dyDescent="0.3">
      <c r="B792" s="1"/>
      <c r="C792" s="1"/>
      <c r="D792" s="1"/>
      <c r="E792" s="1"/>
      <c r="F792" s="1"/>
      <c r="G792" s="1"/>
      <c r="H792" s="1"/>
      <c r="I792" s="1"/>
      <c r="J792" s="1"/>
      <c r="K792" s="1"/>
      <c r="L792" s="1"/>
      <c r="M792" s="1"/>
      <c r="N792" s="1"/>
      <c r="O792" s="1"/>
    </row>
    <row r="793" spans="2:15" x14ac:dyDescent="0.3">
      <c r="B793" s="1"/>
      <c r="C793" s="1"/>
      <c r="D793" s="1"/>
      <c r="E793" s="1"/>
      <c r="F793" s="1"/>
      <c r="G793" s="1"/>
      <c r="H793" s="1"/>
      <c r="I793" s="1"/>
      <c r="J793" s="1"/>
      <c r="K793" s="1"/>
      <c r="L793" s="1"/>
      <c r="M793" s="1"/>
      <c r="N793" s="1"/>
      <c r="O793" s="1"/>
    </row>
    <row r="794" spans="2:15" x14ac:dyDescent="0.3">
      <c r="B794" s="1"/>
      <c r="C794" s="1"/>
      <c r="D794" s="1"/>
      <c r="E794" s="1"/>
      <c r="F794" s="1"/>
      <c r="G794" s="1"/>
      <c r="H794" s="1"/>
      <c r="I794" s="1"/>
      <c r="J794" s="1"/>
      <c r="K794" s="1"/>
      <c r="L794" s="1"/>
      <c r="M794" s="1"/>
      <c r="N794" s="1"/>
      <c r="O794" s="1"/>
    </row>
    <row r="795" spans="2:15" x14ac:dyDescent="0.3">
      <c r="B795" s="1"/>
      <c r="C795" s="1"/>
      <c r="D795" s="1"/>
      <c r="E795" s="1"/>
      <c r="F795" s="1"/>
      <c r="G795" s="1"/>
      <c r="H795" s="1"/>
      <c r="I795" s="1"/>
      <c r="J795" s="1"/>
      <c r="K795" s="1"/>
      <c r="L795" s="1"/>
      <c r="M795" s="1"/>
      <c r="N795" s="1"/>
      <c r="O795" s="1"/>
    </row>
    <row r="796" spans="2:15" x14ac:dyDescent="0.3">
      <c r="B796" s="1"/>
      <c r="C796" s="1"/>
      <c r="D796" s="1"/>
      <c r="E796" s="1"/>
      <c r="F796" s="1"/>
      <c r="G796" s="1"/>
      <c r="H796" s="1"/>
      <c r="I796" s="1"/>
      <c r="J796" s="1"/>
      <c r="K796" s="1"/>
      <c r="L796" s="1"/>
      <c r="M796" s="1"/>
      <c r="N796" s="1"/>
      <c r="O796" s="1"/>
    </row>
    <row r="797" spans="2:15" x14ac:dyDescent="0.3">
      <c r="B797" s="1"/>
      <c r="C797" s="1"/>
      <c r="D797" s="1"/>
      <c r="E797" s="1"/>
      <c r="F797" s="1"/>
      <c r="G797" s="1"/>
      <c r="H797" s="1"/>
      <c r="I797" s="1"/>
      <c r="J797" s="1"/>
      <c r="K797" s="1"/>
      <c r="L797" s="1"/>
      <c r="M797" s="1"/>
      <c r="N797" s="1"/>
      <c r="O797" s="1"/>
    </row>
    <row r="798" spans="2:15" x14ac:dyDescent="0.3">
      <c r="B798" s="1"/>
      <c r="C798" s="1"/>
      <c r="D798" s="1"/>
      <c r="E798" s="1"/>
      <c r="F798" s="1"/>
      <c r="G798" s="1"/>
      <c r="H798" s="1"/>
      <c r="I798" s="1"/>
      <c r="J798" s="1"/>
      <c r="K798" s="1"/>
      <c r="L798" s="1"/>
      <c r="M798" s="1"/>
      <c r="N798" s="1"/>
      <c r="O798" s="1"/>
    </row>
    <row r="799" spans="2:15" x14ac:dyDescent="0.3">
      <c r="B799" s="1"/>
      <c r="C799" s="1"/>
      <c r="D799" s="1"/>
      <c r="E799" s="1"/>
      <c r="F799" s="1"/>
      <c r="G799" s="1"/>
      <c r="H799" s="1"/>
      <c r="I799" s="1"/>
      <c r="J799" s="1"/>
      <c r="K799" s="1"/>
      <c r="L799" s="1"/>
      <c r="M799" s="1"/>
      <c r="N799" s="1"/>
      <c r="O799" s="1"/>
    </row>
    <row r="800" spans="2:15" x14ac:dyDescent="0.3">
      <c r="B800" s="1"/>
      <c r="C800" s="1"/>
      <c r="D800" s="1"/>
      <c r="E800" s="1"/>
      <c r="F800" s="1"/>
      <c r="G800" s="1"/>
      <c r="H800" s="1"/>
      <c r="I800" s="1"/>
      <c r="J800" s="1"/>
      <c r="K800" s="1"/>
      <c r="L800" s="1"/>
      <c r="M800" s="1"/>
      <c r="N800" s="1"/>
      <c r="O800" s="1"/>
    </row>
    <row r="801" spans="2:15" x14ac:dyDescent="0.3">
      <c r="B801" s="1"/>
      <c r="C801" s="1"/>
      <c r="D801" s="1"/>
      <c r="E801" s="1"/>
      <c r="F801" s="1"/>
      <c r="G801" s="1"/>
      <c r="H801" s="1"/>
      <c r="I801" s="1"/>
      <c r="J801" s="1"/>
      <c r="K801" s="1"/>
      <c r="L801" s="1"/>
      <c r="M801" s="1"/>
      <c r="N801" s="1"/>
      <c r="O801" s="1"/>
    </row>
    <row r="802" spans="2:15" x14ac:dyDescent="0.3">
      <c r="B802" s="1"/>
      <c r="C802" s="1"/>
      <c r="D802" s="1"/>
      <c r="E802" s="1"/>
      <c r="F802" s="1"/>
      <c r="G802" s="1"/>
      <c r="H802" s="1"/>
      <c r="I802" s="1"/>
      <c r="J802" s="1"/>
      <c r="K802" s="1"/>
      <c r="L802" s="1"/>
      <c r="M802" s="1"/>
      <c r="N802" s="1"/>
      <c r="O802" s="1"/>
    </row>
    <row r="803" spans="2:15" x14ac:dyDescent="0.3">
      <c r="B803" s="1"/>
      <c r="C803" s="1"/>
      <c r="D803" s="1"/>
      <c r="E803" s="1"/>
      <c r="F803" s="1"/>
      <c r="G803" s="1"/>
      <c r="H803" s="1"/>
      <c r="I803" s="1"/>
      <c r="J803" s="1"/>
      <c r="K803" s="1"/>
      <c r="L803" s="1"/>
      <c r="M803" s="1"/>
      <c r="N803" s="1"/>
      <c r="O803" s="1"/>
    </row>
    <row r="804" spans="2:15" x14ac:dyDescent="0.3">
      <c r="B804" s="1"/>
      <c r="C804" s="1"/>
      <c r="D804" s="1"/>
      <c r="E804" s="1"/>
      <c r="F804" s="1"/>
      <c r="G804" s="1"/>
      <c r="H804" s="1"/>
      <c r="I804" s="1"/>
      <c r="J804" s="1"/>
      <c r="K804" s="1"/>
      <c r="L804" s="1"/>
      <c r="M804" s="1"/>
      <c r="N804" s="1"/>
      <c r="O804" s="1"/>
    </row>
    <row r="805" spans="2:15" x14ac:dyDescent="0.3">
      <c r="B805" s="1"/>
      <c r="C805" s="1"/>
      <c r="D805" s="1"/>
      <c r="E805" s="1"/>
      <c r="F805" s="1"/>
      <c r="G805" s="1"/>
      <c r="H805" s="1"/>
      <c r="I805" s="1"/>
      <c r="J805" s="1"/>
      <c r="K805" s="1"/>
      <c r="L805" s="1"/>
      <c r="M805" s="1"/>
      <c r="N805" s="1"/>
      <c r="O805" s="1"/>
    </row>
    <row r="806" spans="2:15" x14ac:dyDescent="0.3">
      <c r="B806" s="1"/>
      <c r="C806" s="1"/>
      <c r="D806" s="1"/>
      <c r="E806" s="1"/>
      <c r="F806" s="1"/>
      <c r="G806" s="1"/>
      <c r="H806" s="1"/>
      <c r="I806" s="1"/>
      <c r="J806" s="1"/>
      <c r="K806" s="1"/>
      <c r="L806" s="1"/>
      <c r="M806" s="1"/>
      <c r="N806" s="1"/>
      <c r="O806" s="1"/>
    </row>
    <row r="807" spans="2:15" x14ac:dyDescent="0.3">
      <c r="B807" s="1"/>
      <c r="C807" s="1"/>
      <c r="D807" s="1"/>
      <c r="E807" s="1"/>
      <c r="F807" s="1"/>
      <c r="G807" s="1"/>
      <c r="H807" s="1"/>
      <c r="I807" s="1"/>
      <c r="J807" s="1"/>
      <c r="K807" s="1"/>
      <c r="L807" s="1"/>
      <c r="M807" s="1"/>
      <c r="N807" s="1"/>
      <c r="O807" s="1"/>
    </row>
    <row r="808" spans="2:15" x14ac:dyDescent="0.3">
      <c r="B808" s="1"/>
      <c r="C808" s="1"/>
      <c r="D808" s="1"/>
      <c r="E808" s="1"/>
      <c r="F808" s="1"/>
      <c r="G808" s="1"/>
      <c r="H808" s="1"/>
      <c r="I808" s="1"/>
      <c r="J808" s="1"/>
      <c r="K808" s="1"/>
      <c r="L808" s="1"/>
      <c r="M808" s="1"/>
      <c r="N808" s="1"/>
      <c r="O808" s="1"/>
    </row>
    <row r="809" spans="2:15" x14ac:dyDescent="0.3">
      <c r="B809" s="1"/>
      <c r="C809" s="1"/>
      <c r="D809" s="1"/>
      <c r="E809" s="1"/>
      <c r="F809" s="1"/>
      <c r="G809" s="1"/>
      <c r="H809" s="1"/>
      <c r="I809" s="1"/>
      <c r="J809" s="1"/>
      <c r="K809" s="1"/>
      <c r="L809" s="1"/>
      <c r="M809" s="1"/>
      <c r="N809" s="1"/>
      <c r="O809" s="1"/>
    </row>
    <row r="810" spans="2:15" x14ac:dyDescent="0.3">
      <c r="B810" s="1"/>
      <c r="C810" s="1"/>
      <c r="D810" s="1"/>
      <c r="E810" s="1"/>
      <c r="F810" s="1"/>
      <c r="G810" s="1"/>
      <c r="H810" s="1"/>
      <c r="I810" s="1"/>
      <c r="J810" s="1"/>
      <c r="K810" s="1"/>
      <c r="L810" s="1"/>
      <c r="M810" s="1"/>
      <c r="N810" s="1"/>
      <c r="O810" s="1"/>
    </row>
    <row r="811" spans="2:15" x14ac:dyDescent="0.3">
      <c r="B811" s="1"/>
      <c r="C811" s="1"/>
      <c r="D811" s="1"/>
      <c r="E811" s="1"/>
      <c r="F811" s="1"/>
      <c r="G811" s="1"/>
      <c r="H811" s="1"/>
      <c r="I811" s="1"/>
      <c r="J811" s="1"/>
      <c r="K811" s="1"/>
      <c r="L811" s="1"/>
      <c r="M811" s="1"/>
      <c r="N811" s="1"/>
      <c r="O811" s="1"/>
    </row>
    <row r="812" spans="2:15" x14ac:dyDescent="0.3">
      <c r="B812" s="1"/>
      <c r="C812" s="1"/>
      <c r="D812" s="1"/>
      <c r="E812" s="1"/>
      <c r="F812" s="1"/>
      <c r="G812" s="1"/>
      <c r="H812" s="1"/>
      <c r="I812" s="1"/>
      <c r="J812" s="1"/>
      <c r="K812" s="1"/>
      <c r="L812" s="1"/>
      <c r="M812" s="1"/>
      <c r="N812" s="1"/>
      <c r="O812" s="1"/>
    </row>
    <row r="813" spans="2:15" x14ac:dyDescent="0.3">
      <c r="B813" s="1"/>
      <c r="C813" s="1"/>
      <c r="D813" s="1"/>
      <c r="E813" s="1"/>
      <c r="F813" s="1"/>
      <c r="G813" s="1"/>
      <c r="H813" s="1"/>
      <c r="I813" s="1"/>
      <c r="J813" s="1"/>
      <c r="K813" s="1"/>
      <c r="L813" s="1"/>
      <c r="M813" s="1"/>
      <c r="N813" s="1"/>
      <c r="O813" s="1"/>
    </row>
    <row r="814" spans="2:15" x14ac:dyDescent="0.3">
      <c r="B814" s="1"/>
      <c r="C814" s="1"/>
      <c r="D814" s="1"/>
      <c r="E814" s="1"/>
      <c r="F814" s="1"/>
      <c r="G814" s="1"/>
      <c r="H814" s="1"/>
      <c r="I814" s="1"/>
      <c r="J814" s="1"/>
      <c r="K814" s="1"/>
      <c r="L814" s="1"/>
      <c r="M814" s="1"/>
      <c r="N814" s="1"/>
      <c r="O814" s="1"/>
    </row>
    <row r="815" spans="2:15" x14ac:dyDescent="0.3">
      <c r="B815" s="1"/>
      <c r="C815" s="1"/>
      <c r="D815" s="1"/>
      <c r="E815" s="1"/>
      <c r="F815" s="1"/>
      <c r="G815" s="1"/>
      <c r="H815" s="1"/>
      <c r="I815" s="1"/>
      <c r="J815" s="1"/>
      <c r="K815" s="1"/>
      <c r="L815" s="1"/>
      <c r="M815" s="1"/>
      <c r="N815" s="1"/>
      <c r="O815" s="1"/>
    </row>
    <row r="816" spans="2:15" x14ac:dyDescent="0.3">
      <c r="B816" s="1"/>
      <c r="C816" s="1"/>
      <c r="D816" s="1"/>
      <c r="E816" s="1"/>
      <c r="F816" s="1"/>
      <c r="G816" s="1"/>
      <c r="H816" s="1"/>
      <c r="I816" s="1"/>
      <c r="J816" s="1"/>
      <c r="K816" s="1"/>
      <c r="L816" s="1"/>
      <c r="M816" s="1"/>
      <c r="N816" s="1"/>
      <c r="O816" s="1"/>
    </row>
    <row r="817" spans="2:15" x14ac:dyDescent="0.3">
      <c r="B817" s="1"/>
      <c r="C817" s="1"/>
      <c r="D817" s="1"/>
      <c r="E817" s="1"/>
      <c r="F817" s="1"/>
      <c r="G817" s="1"/>
      <c r="H817" s="1"/>
      <c r="I817" s="1"/>
      <c r="J817" s="1"/>
      <c r="K817" s="1"/>
      <c r="L817" s="1"/>
      <c r="M817" s="1"/>
      <c r="N817" s="1"/>
      <c r="O817" s="1"/>
    </row>
    <row r="818" spans="2:15" x14ac:dyDescent="0.3">
      <c r="B818" s="1"/>
      <c r="C818" s="1"/>
      <c r="D818" s="1"/>
      <c r="E818" s="1"/>
      <c r="F818" s="1"/>
      <c r="G818" s="1"/>
      <c r="H818" s="1"/>
      <c r="I818" s="1"/>
      <c r="J818" s="1"/>
      <c r="K818" s="1"/>
      <c r="L818" s="1"/>
      <c r="M818" s="1"/>
      <c r="N818" s="1"/>
      <c r="O818" s="1"/>
    </row>
    <row r="819" spans="2:15" x14ac:dyDescent="0.3">
      <c r="B819" s="1"/>
      <c r="C819" s="1"/>
      <c r="D819" s="1"/>
      <c r="E819" s="1"/>
      <c r="F819" s="1"/>
      <c r="G819" s="1"/>
      <c r="H819" s="1"/>
      <c r="I819" s="1"/>
      <c r="J819" s="1"/>
      <c r="K819" s="1"/>
      <c r="L819" s="1"/>
      <c r="M819" s="1"/>
      <c r="N819" s="1"/>
      <c r="O819" s="1"/>
    </row>
    <row r="820" spans="2:15" x14ac:dyDescent="0.3">
      <c r="B820" s="1"/>
      <c r="C820" s="1"/>
      <c r="D820" s="1"/>
      <c r="E820" s="1"/>
      <c r="F820" s="1"/>
      <c r="G820" s="1"/>
      <c r="H820" s="1"/>
      <c r="I820" s="1"/>
      <c r="J820" s="1"/>
      <c r="K820" s="1"/>
      <c r="L820" s="1"/>
      <c r="M820" s="1"/>
      <c r="N820" s="1"/>
      <c r="O820" s="1"/>
    </row>
    <row r="821" spans="2:15" x14ac:dyDescent="0.3">
      <c r="B821" s="1"/>
      <c r="C821" s="1"/>
      <c r="D821" s="1"/>
      <c r="E821" s="1"/>
      <c r="F821" s="1"/>
      <c r="G821" s="1"/>
      <c r="H821" s="1"/>
      <c r="I821" s="1"/>
      <c r="J821" s="1"/>
      <c r="K821" s="1"/>
      <c r="L821" s="1"/>
      <c r="M821" s="1"/>
      <c r="N821" s="1"/>
      <c r="O821" s="1"/>
    </row>
    <row r="822" spans="2:15" x14ac:dyDescent="0.3">
      <c r="B822" s="1"/>
      <c r="C822" s="1"/>
      <c r="D822" s="1"/>
      <c r="E822" s="1"/>
      <c r="F822" s="1"/>
      <c r="G822" s="1"/>
      <c r="H822" s="1"/>
      <c r="I822" s="1"/>
      <c r="J822" s="1"/>
      <c r="K822" s="1"/>
      <c r="L822" s="1"/>
      <c r="M822" s="1"/>
      <c r="N822" s="1"/>
      <c r="O822" s="1"/>
    </row>
    <row r="823" spans="2:15" x14ac:dyDescent="0.3">
      <c r="B823" s="1"/>
      <c r="C823" s="1"/>
      <c r="D823" s="1"/>
      <c r="E823" s="1"/>
      <c r="F823" s="1"/>
      <c r="G823" s="1"/>
      <c r="H823" s="1"/>
      <c r="I823" s="1"/>
      <c r="J823" s="1"/>
      <c r="K823" s="1"/>
      <c r="L823" s="1"/>
      <c r="M823" s="1"/>
      <c r="N823" s="1"/>
      <c r="O823" s="1"/>
    </row>
    <row r="824" spans="2:15" x14ac:dyDescent="0.3">
      <c r="B824" s="1"/>
      <c r="C824" s="1"/>
      <c r="D824" s="1"/>
      <c r="E824" s="1"/>
      <c r="F824" s="1"/>
      <c r="G824" s="1"/>
      <c r="H824" s="1"/>
      <c r="I824" s="1"/>
      <c r="J824" s="1"/>
      <c r="K824" s="1"/>
      <c r="L824" s="1"/>
      <c r="M824" s="1"/>
      <c r="N824" s="1"/>
      <c r="O824" s="1"/>
    </row>
    <row r="825" spans="2:15" x14ac:dyDescent="0.3">
      <c r="B825" s="1"/>
      <c r="C825" s="1"/>
      <c r="D825" s="1"/>
      <c r="E825" s="1"/>
      <c r="F825" s="1"/>
      <c r="G825" s="1"/>
      <c r="H825" s="1"/>
      <c r="I825" s="1"/>
      <c r="J825" s="1"/>
      <c r="K825" s="1"/>
      <c r="L825" s="1"/>
      <c r="M825" s="1"/>
      <c r="N825" s="1"/>
      <c r="O825" s="1"/>
    </row>
    <row r="826" spans="2:15" x14ac:dyDescent="0.3">
      <c r="B826" s="1"/>
      <c r="C826" s="1"/>
      <c r="D826" s="1"/>
      <c r="E826" s="1"/>
      <c r="F826" s="1"/>
      <c r="G826" s="1"/>
      <c r="H826" s="1"/>
      <c r="I826" s="1"/>
      <c r="J826" s="1"/>
      <c r="K826" s="1"/>
      <c r="L826" s="1"/>
      <c r="M826" s="1"/>
      <c r="N826" s="1"/>
      <c r="O826" s="1"/>
    </row>
    <row r="827" spans="2:15" x14ac:dyDescent="0.3">
      <c r="B827" s="1"/>
      <c r="C827" s="1"/>
      <c r="D827" s="1"/>
      <c r="E827" s="1"/>
      <c r="F827" s="1"/>
      <c r="G827" s="1"/>
      <c r="H827" s="1"/>
      <c r="I827" s="1"/>
      <c r="J827" s="1"/>
      <c r="K827" s="1"/>
      <c r="L827" s="1"/>
      <c r="M827" s="1"/>
      <c r="N827" s="1"/>
      <c r="O827" s="1"/>
    </row>
    <row r="828" spans="2:15" x14ac:dyDescent="0.3">
      <c r="B828" s="1"/>
      <c r="C828" s="1"/>
      <c r="D828" s="1"/>
      <c r="E828" s="1"/>
      <c r="F828" s="1"/>
      <c r="G828" s="1"/>
      <c r="H828" s="1"/>
      <c r="I828" s="1"/>
      <c r="J828" s="1"/>
      <c r="K828" s="1"/>
      <c r="L828" s="1"/>
      <c r="M828" s="1"/>
      <c r="N828" s="1"/>
      <c r="O828" s="1"/>
    </row>
    <row r="829" spans="2:15" x14ac:dyDescent="0.3">
      <c r="B829" s="1"/>
      <c r="C829" s="1"/>
      <c r="D829" s="1"/>
      <c r="E829" s="1"/>
      <c r="F829" s="1"/>
      <c r="G829" s="1"/>
      <c r="H829" s="1"/>
      <c r="I829" s="1"/>
      <c r="J829" s="1"/>
      <c r="K829" s="1"/>
      <c r="L829" s="1"/>
      <c r="M829" s="1"/>
      <c r="N829" s="1"/>
      <c r="O829" s="1"/>
    </row>
    <row r="830" spans="2:15" x14ac:dyDescent="0.3">
      <c r="B830" s="1"/>
      <c r="C830" s="1"/>
      <c r="D830" s="1"/>
      <c r="E830" s="1"/>
      <c r="F830" s="1"/>
      <c r="G830" s="1"/>
      <c r="H830" s="1"/>
      <c r="I830" s="1"/>
      <c r="J830" s="1"/>
      <c r="K830" s="1"/>
      <c r="L830" s="1"/>
      <c r="M830" s="1"/>
      <c r="N830" s="1"/>
      <c r="O830" s="1"/>
    </row>
    <row r="831" spans="2:15" x14ac:dyDescent="0.3">
      <c r="B831" s="1"/>
      <c r="C831" s="1"/>
      <c r="D831" s="1"/>
      <c r="E831" s="1"/>
      <c r="F831" s="1"/>
      <c r="G831" s="1"/>
      <c r="H831" s="1"/>
      <c r="I831" s="1"/>
      <c r="J831" s="1"/>
      <c r="K831" s="1"/>
      <c r="L831" s="1"/>
      <c r="M831" s="1"/>
      <c r="N831" s="1"/>
      <c r="O831" s="1"/>
    </row>
    <row r="832" spans="2:15" x14ac:dyDescent="0.3">
      <c r="B832" s="1"/>
      <c r="C832" s="1"/>
      <c r="D832" s="1"/>
      <c r="E832" s="1"/>
      <c r="F832" s="1"/>
      <c r="G832" s="1"/>
      <c r="H832" s="1"/>
      <c r="I832" s="1"/>
      <c r="J832" s="1"/>
      <c r="K832" s="1"/>
      <c r="L832" s="1"/>
      <c r="M832" s="1"/>
      <c r="N832" s="1"/>
      <c r="O832" s="1"/>
    </row>
    <row r="833" spans="2:15" x14ac:dyDescent="0.3">
      <c r="B833" s="1"/>
      <c r="C833" s="1"/>
      <c r="D833" s="1"/>
      <c r="E833" s="1"/>
      <c r="F833" s="1"/>
      <c r="G833" s="1"/>
      <c r="H833" s="1"/>
      <c r="I833" s="1"/>
      <c r="J833" s="1"/>
      <c r="K833" s="1"/>
      <c r="L833" s="1"/>
      <c r="M833" s="1"/>
      <c r="N833" s="1"/>
      <c r="O833" s="1"/>
    </row>
    <row r="834" spans="2:15" x14ac:dyDescent="0.3">
      <c r="B834" s="1"/>
      <c r="C834" s="1"/>
      <c r="D834" s="1"/>
      <c r="E834" s="1"/>
      <c r="F834" s="1"/>
      <c r="G834" s="1"/>
      <c r="H834" s="1"/>
      <c r="I834" s="1"/>
      <c r="J834" s="1"/>
      <c r="K834" s="1"/>
      <c r="L834" s="1"/>
      <c r="M834" s="1"/>
      <c r="N834" s="1"/>
      <c r="O834" s="1"/>
    </row>
    <row r="835" spans="2:15" x14ac:dyDescent="0.3">
      <c r="B835" s="1"/>
      <c r="C835" s="1"/>
      <c r="D835" s="1"/>
      <c r="E835" s="1"/>
      <c r="F835" s="1"/>
      <c r="G835" s="1"/>
      <c r="H835" s="1"/>
      <c r="I835" s="1"/>
      <c r="J835" s="1"/>
      <c r="K835" s="1"/>
      <c r="L835" s="1"/>
      <c r="M835" s="1"/>
      <c r="N835" s="1"/>
      <c r="O835" s="1"/>
    </row>
    <row r="836" spans="2:15" x14ac:dyDescent="0.3">
      <c r="B836" s="1"/>
      <c r="C836" s="1"/>
      <c r="D836" s="1"/>
      <c r="E836" s="1"/>
      <c r="F836" s="1"/>
      <c r="G836" s="1"/>
      <c r="H836" s="1"/>
      <c r="I836" s="1"/>
      <c r="J836" s="1"/>
      <c r="K836" s="1"/>
      <c r="L836" s="1"/>
      <c r="M836" s="1"/>
      <c r="N836" s="1"/>
      <c r="O836" s="1"/>
    </row>
    <row r="837" spans="2:15" x14ac:dyDescent="0.3">
      <c r="B837" s="1"/>
      <c r="C837" s="1"/>
      <c r="D837" s="1"/>
      <c r="E837" s="1"/>
      <c r="F837" s="1"/>
      <c r="G837" s="1"/>
      <c r="H837" s="1"/>
      <c r="I837" s="1"/>
      <c r="J837" s="1"/>
      <c r="K837" s="1"/>
      <c r="L837" s="1"/>
      <c r="M837" s="1"/>
      <c r="N837" s="1"/>
      <c r="O837" s="1"/>
    </row>
    <row r="838" spans="2:15" x14ac:dyDescent="0.3">
      <c r="B838" s="1"/>
      <c r="C838" s="1"/>
      <c r="D838" s="1"/>
      <c r="E838" s="1"/>
      <c r="F838" s="1"/>
      <c r="G838" s="1"/>
      <c r="H838" s="1"/>
      <c r="I838" s="1"/>
      <c r="J838" s="1"/>
      <c r="K838" s="1"/>
      <c r="L838" s="1"/>
      <c r="M838" s="1"/>
      <c r="N838" s="1"/>
      <c r="O838" s="1"/>
    </row>
    <row r="839" spans="2:15" x14ac:dyDescent="0.3">
      <c r="B839" s="1"/>
      <c r="C839" s="1"/>
      <c r="D839" s="1"/>
      <c r="E839" s="1"/>
      <c r="F839" s="1"/>
      <c r="G839" s="1"/>
      <c r="H839" s="1"/>
      <c r="I839" s="1"/>
      <c r="J839" s="1"/>
      <c r="K839" s="1"/>
      <c r="L839" s="1"/>
      <c r="M839" s="1"/>
      <c r="N839" s="1"/>
      <c r="O839" s="1"/>
    </row>
    <row r="840" spans="2:15" x14ac:dyDescent="0.3">
      <c r="B840" s="1"/>
      <c r="C840" s="1"/>
      <c r="D840" s="1"/>
      <c r="E840" s="1"/>
      <c r="F840" s="1"/>
      <c r="G840" s="1"/>
      <c r="H840" s="1"/>
      <c r="I840" s="1"/>
      <c r="J840" s="1"/>
      <c r="K840" s="1"/>
      <c r="L840" s="1"/>
      <c r="M840" s="1"/>
      <c r="N840" s="1"/>
      <c r="O840" s="1"/>
    </row>
    <row r="841" spans="2:15" x14ac:dyDescent="0.3">
      <c r="B841" s="1"/>
      <c r="C841" s="1"/>
      <c r="D841" s="1"/>
      <c r="E841" s="1"/>
      <c r="F841" s="1"/>
      <c r="G841" s="1"/>
      <c r="H841" s="1"/>
      <c r="I841" s="1"/>
      <c r="J841" s="1"/>
      <c r="K841" s="1"/>
      <c r="L841" s="1"/>
      <c r="M841" s="1"/>
      <c r="N841" s="1"/>
      <c r="O841" s="1"/>
    </row>
    <row r="842" spans="2:15" x14ac:dyDescent="0.3">
      <c r="B842" s="1"/>
      <c r="C842" s="1"/>
      <c r="D842" s="1"/>
      <c r="E842" s="1"/>
      <c r="F842" s="1"/>
      <c r="G842" s="1"/>
      <c r="H842" s="1"/>
      <c r="I842" s="1"/>
      <c r="J842" s="1"/>
      <c r="K842" s="1"/>
      <c r="L842" s="1"/>
      <c r="M842" s="1"/>
      <c r="N842" s="1"/>
      <c r="O842" s="1"/>
    </row>
    <row r="843" spans="2:15" x14ac:dyDescent="0.3">
      <c r="B843" s="1"/>
      <c r="C843" s="1"/>
      <c r="D843" s="1"/>
      <c r="E843" s="1"/>
      <c r="F843" s="1"/>
      <c r="G843" s="1"/>
      <c r="H843" s="1"/>
      <c r="I843" s="1"/>
      <c r="J843" s="1"/>
      <c r="K843" s="1"/>
      <c r="L843" s="1"/>
      <c r="M843" s="1"/>
      <c r="N843" s="1"/>
      <c r="O843" s="1"/>
    </row>
    <row r="844" spans="2:15" x14ac:dyDescent="0.3">
      <c r="B844" s="1"/>
      <c r="C844" s="1"/>
      <c r="D844" s="1"/>
      <c r="E844" s="1"/>
      <c r="F844" s="1"/>
      <c r="G844" s="1"/>
      <c r="H844" s="1"/>
      <c r="I844" s="1"/>
      <c r="J844" s="1"/>
      <c r="K844" s="1"/>
      <c r="L844" s="1"/>
      <c r="M844" s="1"/>
      <c r="N844" s="1"/>
      <c r="O844" s="1"/>
    </row>
    <row r="845" spans="2:15" x14ac:dyDescent="0.3">
      <c r="B845" s="1"/>
      <c r="C845" s="1"/>
      <c r="D845" s="1"/>
      <c r="E845" s="1"/>
      <c r="F845" s="1"/>
      <c r="G845" s="1"/>
      <c r="H845" s="1"/>
      <c r="I845" s="1"/>
      <c r="J845" s="1"/>
      <c r="K845" s="1"/>
      <c r="L845" s="1"/>
      <c r="M845" s="1"/>
      <c r="N845" s="1"/>
      <c r="O845" s="1"/>
    </row>
    <row r="846" spans="2:15" x14ac:dyDescent="0.3">
      <c r="B846" s="1"/>
      <c r="C846" s="1"/>
      <c r="D846" s="1"/>
      <c r="E846" s="1"/>
      <c r="F846" s="1"/>
      <c r="G846" s="1"/>
      <c r="H846" s="1"/>
      <c r="I846" s="1"/>
      <c r="J846" s="1"/>
      <c r="K846" s="1"/>
      <c r="L846" s="1"/>
      <c r="M846" s="1"/>
      <c r="N846" s="1"/>
      <c r="O846" s="1"/>
    </row>
    <row r="847" spans="2:15" x14ac:dyDescent="0.3">
      <c r="B847" s="1"/>
      <c r="C847" s="1"/>
      <c r="D847" s="1"/>
      <c r="E847" s="1"/>
      <c r="F847" s="1"/>
      <c r="G847" s="1"/>
      <c r="H847" s="1"/>
      <c r="I847" s="1"/>
      <c r="J847" s="1"/>
      <c r="K847" s="1"/>
      <c r="L847" s="1"/>
      <c r="M847" s="1"/>
      <c r="N847" s="1"/>
      <c r="O847" s="1"/>
    </row>
    <row r="848" spans="2:15" x14ac:dyDescent="0.3">
      <c r="B848" s="1"/>
      <c r="C848" s="1"/>
      <c r="D848" s="1"/>
      <c r="E848" s="1"/>
      <c r="F848" s="1"/>
      <c r="G848" s="1"/>
      <c r="H848" s="1"/>
      <c r="I848" s="1"/>
      <c r="J848" s="1"/>
      <c r="K848" s="1"/>
      <c r="L848" s="1"/>
      <c r="M848" s="1"/>
      <c r="N848" s="1"/>
      <c r="O848" s="1"/>
    </row>
    <row r="849" spans="2:15" x14ac:dyDescent="0.3">
      <c r="B849" s="1"/>
      <c r="C849" s="1"/>
      <c r="D849" s="1"/>
      <c r="E849" s="1"/>
      <c r="F849" s="1"/>
      <c r="G849" s="1"/>
      <c r="H849" s="1"/>
      <c r="I849" s="1"/>
      <c r="J849" s="1"/>
      <c r="K849" s="1"/>
      <c r="L849" s="1"/>
      <c r="M849" s="1"/>
      <c r="N849" s="1"/>
      <c r="O849" s="1"/>
    </row>
    <row r="850" spans="2:15" x14ac:dyDescent="0.3">
      <c r="B850" s="1"/>
      <c r="C850" s="1"/>
      <c r="D850" s="1"/>
      <c r="E850" s="1"/>
      <c r="F850" s="1"/>
      <c r="G850" s="1"/>
      <c r="H850" s="1"/>
      <c r="I850" s="1"/>
      <c r="J850" s="1"/>
      <c r="K850" s="1"/>
      <c r="L850" s="1"/>
      <c r="M850" s="1"/>
      <c r="N850" s="1"/>
      <c r="O850" s="1"/>
    </row>
    <row r="851" spans="2:15" x14ac:dyDescent="0.3">
      <c r="B851" s="1"/>
      <c r="C851" s="1"/>
      <c r="D851" s="1"/>
      <c r="E851" s="1"/>
      <c r="F851" s="1"/>
      <c r="G851" s="1"/>
      <c r="H851" s="1"/>
      <c r="I851" s="1"/>
      <c r="J851" s="1"/>
      <c r="K851" s="1"/>
      <c r="L851" s="1"/>
      <c r="M851" s="1"/>
      <c r="N851" s="1"/>
      <c r="O851" s="1"/>
    </row>
    <row r="852" spans="2:15" x14ac:dyDescent="0.3">
      <c r="B852" s="1"/>
      <c r="C852" s="1"/>
      <c r="D852" s="1"/>
      <c r="E852" s="1"/>
      <c r="F852" s="1"/>
      <c r="G852" s="1"/>
      <c r="H852" s="1"/>
      <c r="I852" s="1"/>
      <c r="J852" s="1"/>
      <c r="K852" s="1"/>
      <c r="L852" s="1"/>
      <c r="M852" s="1"/>
      <c r="N852" s="1"/>
      <c r="O852" s="1"/>
    </row>
    <row r="853" spans="2:15" x14ac:dyDescent="0.3">
      <c r="B853" s="1"/>
      <c r="C853" s="1"/>
      <c r="D853" s="1"/>
      <c r="E853" s="1"/>
      <c r="F853" s="1"/>
      <c r="G853" s="1"/>
      <c r="H853" s="1"/>
      <c r="I853" s="1"/>
      <c r="J853" s="1"/>
      <c r="K853" s="1"/>
      <c r="L853" s="1"/>
      <c r="M853" s="1"/>
      <c r="N853" s="1"/>
      <c r="O853" s="1"/>
    </row>
    <row r="854" spans="2:15" x14ac:dyDescent="0.3">
      <c r="B854" s="1"/>
      <c r="C854" s="1"/>
      <c r="D854" s="1"/>
      <c r="E854" s="1"/>
      <c r="F854" s="1"/>
      <c r="G854" s="1"/>
      <c r="H854" s="1"/>
      <c r="I854" s="1"/>
      <c r="J854" s="1"/>
      <c r="K854" s="1"/>
      <c r="L854" s="1"/>
      <c r="M854" s="1"/>
      <c r="N854" s="1"/>
      <c r="O854" s="1"/>
    </row>
    <row r="855" spans="2:15" x14ac:dyDescent="0.3">
      <c r="B855" s="1"/>
      <c r="C855" s="1"/>
      <c r="D855" s="1"/>
      <c r="E855" s="1"/>
      <c r="F855" s="1"/>
      <c r="G855" s="1"/>
      <c r="H855" s="1"/>
      <c r="I855" s="1"/>
      <c r="J855" s="1"/>
      <c r="K855" s="1"/>
      <c r="L855" s="1"/>
      <c r="M855" s="1"/>
      <c r="N855" s="1"/>
      <c r="O855" s="1"/>
    </row>
    <row r="856" spans="2:15" x14ac:dyDescent="0.3">
      <c r="B856" s="1"/>
      <c r="C856" s="1"/>
      <c r="D856" s="1"/>
      <c r="E856" s="1"/>
      <c r="F856" s="1"/>
      <c r="G856" s="1"/>
      <c r="H856" s="1"/>
      <c r="I856" s="1"/>
      <c r="J856" s="1"/>
      <c r="K856" s="1"/>
      <c r="L856" s="1"/>
      <c r="M856" s="1"/>
      <c r="N856" s="1"/>
      <c r="O856" s="1"/>
    </row>
    <row r="857" spans="2:15" x14ac:dyDescent="0.3">
      <c r="B857" s="1"/>
      <c r="C857" s="1"/>
      <c r="D857" s="1"/>
      <c r="E857" s="1"/>
      <c r="F857" s="1"/>
      <c r="G857" s="1"/>
      <c r="H857" s="1"/>
      <c r="I857" s="1"/>
      <c r="J857" s="1"/>
      <c r="K857" s="1"/>
      <c r="L857" s="1"/>
      <c r="M857" s="1"/>
      <c r="N857" s="1"/>
      <c r="O857" s="1"/>
    </row>
    <row r="858" spans="2:15" x14ac:dyDescent="0.3">
      <c r="B858" s="1"/>
      <c r="C858" s="1"/>
      <c r="D858" s="1"/>
      <c r="E858" s="1"/>
      <c r="F858" s="1"/>
      <c r="G858" s="1"/>
      <c r="H858" s="1"/>
      <c r="I858" s="1"/>
      <c r="J858" s="1"/>
      <c r="K858" s="1"/>
      <c r="L858" s="1"/>
      <c r="M858" s="1"/>
      <c r="N858" s="1"/>
      <c r="O858" s="1"/>
    </row>
    <row r="859" spans="2:15" x14ac:dyDescent="0.3">
      <c r="B859" s="1"/>
      <c r="C859" s="1"/>
      <c r="D859" s="1"/>
      <c r="E859" s="1"/>
      <c r="F859" s="1"/>
      <c r="G859" s="1"/>
      <c r="H859" s="1"/>
      <c r="I859" s="1"/>
      <c r="J859" s="1"/>
      <c r="K859" s="1"/>
      <c r="L859" s="1"/>
      <c r="M859" s="1"/>
      <c r="N859" s="1"/>
      <c r="O859" s="1"/>
    </row>
    <row r="860" spans="2:15" x14ac:dyDescent="0.3">
      <c r="B860" s="1"/>
      <c r="C860" s="1"/>
      <c r="D860" s="1"/>
      <c r="E860" s="1"/>
      <c r="F860" s="1"/>
      <c r="G860" s="1"/>
      <c r="H860" s="1"/>
      <c r="I860" s="1"/>
      <c r="J860" s="1"/>
      <c r="K860" s="1"/>
      <c r="L860" s="1"/>
      <c r="M860" s="1"/>
      <c r="N860" s="1"/>
      <c r="O860" s="1"/>
    </row>
    <row r="861" spans="2:15" x14ac:dyDescent="0.3">
      <c r="B861" s="1"/>
      <c r="C861" s="1"/>
      <c r="D861" s="1"/>
      <c r="E861" s="1"/>
      <c r="F861" s="1"/>
      <c r="G861" s="1"/>
      <c r="H861" s="1"/>
      <c r="I861" s="1"/>
      <c r="J861" s="1"/>
      <c r="K861" s="1"/>
      <c r="L861" s="1"/>
      <c r="M861" s="1"/>
      <c r="N861" s="1"/>
      <c r="O861" s="1"/>
    </row>
    <row r="862" spans="2:15" x14ac:dyDescent="0.3">
      <c r="B862" s="1"/>
      <c r="C862" s="1"/>
      <c r="D862" s="1"/>
      <c r="E862" s="1"/>
      <c r="F862" s="1"/>
      <c r="G862" s="1"/>
      <c r="H862" s="1"/>
      <c r="I862" s="1"/>
      <c r="J862" s="1"/>
      <c r="K862" s="1"/>
      <c r="L862" s="1"/>
      <c r="M862" s="1"/>
      <c r="N862" s="1"/>
      <c r="O862" s="1"/>
    </row>
    <row r="863" spans="2:15" x14ac:dyDescent="0.3">
      <c r="B863" s="1"/>
      <c r="C863" s="1"/>
      <c r="D863" s="1"/>
      <c r="E863" s="1"/>
      <c r="F863" s="1"/>
      <c r="G863" s="1"/>
      <c r="H863" s="1"/>
      <c r="I863" s="1"/>
      <c r="J863" s="1"/>
      <c r="K863" s="1"/>
      <c r="L863" s="1"/>
      <c r="M863" s="1"/>
      <c r="N863" s="1"/>
      <c r="O863" s="1"/>
    </row>
    <row r="864" spans="2:15" x14ac:dyDescent="0.3">
      <c r="B864" s="1"/>
      <c r="C864" s="1"/>
      <c r="D864" s="1"/>
      <c r="E864" s="1"/>
      <c r="F864" s="1"/>
      <c r="G864" s="1"/>
      <c r="H864" s="1"/>
      <c r="I864" s="1"/>
      <c r="J864" s="1"/>
      <c r="K864" s="1"/>
      <c r="L864" s="1"/>
      <c r="M864" s="1"/>
      <c r="N864" s="1"/>
      <c r="O864" s="1"/>
    </row>
    <row r="865" spans="2:15" x14ac:dyDescent="0.3">
      <c r="B865" s="1"/>
      <c r="C865" s="1"/>
      <c r="D865" s="1"/>
      <c r="E865" s="1"/>
      <c r="F865" s="1"/>
      <c r="G865" s="1"/>
      <c r="H865" s="1"/>
      <c r="I865" s="1"/>
      <c r="J865" s="1"/>
      <c r="K865" s="1"/>
      <c r="L865" s="1"/>
      <c r="M865" s="1"/>
      <c r="N865" s="1"/>
      <c r="O865" s="1"/>
    </row>
    <row r="866" spans="2:15" x14ac:dyDescent="0.3">
      <c r="B866" s="1"/>
      <c r="C866" s="1"/>
      <c r="D866" s="1"/>
      <c r="E866" s="1"/>
      <c r="F866" s="1"/>
      <c r="G866" s="1"/>
      <c r="H866" s="1"/>
      <c r="I866" s="1"/>
      <c r="J866" s="1"/>
      <c r="K866" s="1"/>
      <c r="L866" s="1"/>
      <c r="M866" s="1"/>
      <c r="N866" s="1"/>
      <c r="O866" s="1"/>
    </row>
    <row r="867" spans="2:15" x14ac:dyDescent="0.3">
      <c r="B867" s="1"/>
      <c r="C867" s="1"/>
      <c r="D867" s="1"/>
      <c r="E867" s="1"/>
      <c r="F867" s="1"/>
      <c r="G867" s="1"/>
      <c r="H867" s="1"/>
      <c r="I867" s="1"/>
      <c r="J867" s="1"/>
      <c r="K867" s="1"/>
      <c r="L867" s="1"/>
      <c r="M867" s="1"/>
      <c r="N867" s="1"/>
      <c r="O867" s="1"/>
    </row>
    <row r="868" spans="2:15" x14ac:dyDescent="0.3">
      <c r="B868" s="1"/>
      <c r="C868" s="1"/>
      <c r="D868" s="1"/>
      <c r="E868" s="1"/>
      <c r="F868" s="1"/>
      <c r="G868" s="1"/>
      <c r="H868" s="1"/>
      <c r="I868" s="1"/>
      <c r="J868" s="1"/>
      <c r="K868" s="1"/>
      <c r="L868" s="1"/>
      <c r="M868" s="1"/>
      <c r="N868" s="1"/>
      <c r="O868" s="1"/>
    </row>
    <row r="869" spans="2:15" x14ac:dyDescent="0.3">
      <c r="B869" s="1"/>
      <c r="C869" s="1"/>
      <c r="D869" s="1"/>
      <c r="E869" s="1"/>
      <c r="F869" s="1"/>
      <c r="G869" s="1"/>
      <c r="H869" s="1"/>
      <c r="I869" s="1"/>
      <c r="J869" s="1"/>
      <c r="K869" s="1"/>
      <c r="L869" s="1"/>
      <c r="M869" s="1"/>
      <c r="N869" s="1"/>
      <c r="O869" s="1"/>
    </row>
    <row r="870" spans="2:15" x14ac:dyDescent="0.3">
      <c r="B870" s="1"/>
      <c r="C870" s="1"/>
      <c r="D870" s="1"/>
      <c r="E870" s="1"/>
      <c r="F870" s="1"/>
      <c r="G870" s="1"/>
      <c r="H870" s="1"/>
      <c r="I870" s="1"/>
      <c r="J870" s="1"/>
      <c r="K870" s="1"/>
      <c r="L870" s="1"/>
      <c r="M870" s="1"/>
      <c r="N870" s="1"/>
      <c r="O870" s="1"/>
    </row>
    <row r="871" spans="2:15" x14ac:dyDescent="0.3">
      <c r="B871" s="1"/>
      <c r="C871" s="1"/>
      <c r="D871" s="1"/>
      <c r="E871" s="1"/>
      <c r="F871" s="1"/>
      <c r="G871" s="1"/>
      <c r="H871" s="1"/>
      <c r="I871" s="1"/>
      <c r="J871" s="1"/>
      <c r="K871" s="1"/>
      <c r="L871" s="1"/>
      <c r="M871" s="1"/>
      <c r="N871" s="1"/>
      <c r="O871" s="1"/>
    </row>
    <row r="872" spans="2:15" x14ac:dyDescent="0.3">
      <c r="B872" s="1"/>
      <c r="C872" s="1"/>
      <c r="D872" s="1"/>
      <c r="E872" s="1"/>
      <c r="F872" s="1"/>
      <c r="G872" s="1"/>
      <c r="H872" s="1"/>
      <c r="I872" s="1"/>
      <c r="J872" s="1"/>
      <c r="K872" s="1"/>
      <c r="L872" s="1"/>
      <c r="M872" s="1"/>
      <c r="N872" s="1"/>
      <c r="O872" s="1"/>
    </row>
    <row r="873" spans="2:15" x14ac:dyDescent="0.3">
      <c r="B873" s="1"/>
      <c r="C873" s="1"/>
      <c r="D873" s="1"/>
      <c r="E873" s="1"/>
      <c r="F873" s="1"/>
      <c r="G873" s="1"/>
      <c r="H873" s="1"/>
      <c r="I873" s="1"/>
      <c r="J873" s="1"/>
      <c r="K873" s="1"/>
      <c r="L873" s="1"/>
      <c r="M873" s="1"/>
      <c r="N873" s="1"/>
      <c r="O873" s="1"/>
    </row>
    <row r="874" spans="2:15" x14ac:dyDescent="0.3">
      <c r="B874" s="1"/>
      <c r="C874" s="1"/>
      <c r="D874" s="1"/>
      <c r="E874" s="1"/>
      <c r="F874" s="1"/>
      <c r="G874" s="1"/>
      <c r="H874" s="1"/>
      <c r="I874" s="1"/>
      <c r="J874" s="1"/>
      <c r="K874" s="1"/>
      <c r="L874" s="1"/>
      <c r="M874" s="1"/>
      <c r="N874" s="1"/>
      <c r="O874" s="1"/>
    </row>
    <row r="875" spans="2:15" x14ac:dyDescent="0.3">
      <c r="B875" s="1"/>
      <c r="C875" s="1"/>
      <c r="D875" s="1"/>
      <c r="E875" s="1"/>
      <c r="F875" s="1"/>
      <c r="G875" s="1"/>
      <c r="H875" s="1"/>
      <c r="I875" s="1"/>
      <c r="J875" s="1"/>
      <c r="K875" s="1"/>
      <c r="L875" s="1"/>
      <c r="M875" s="1"/>
      <c r="N875" s="1"/>
      <c r="O875" s="1"/>
    </row>
    <row r="876" spans="2:15" x14ac:dyDescent="0.3">
      <c r="B876" s="1"/>
      <c r="C876" s="1"/>
      <c r="D876" s="1"/>
      <c r="E876" s="1"/>
      <c r="F876" s="1"/>
      <c r="G876" s="1"/>
      <c r="H876" s="1"/>
      <c r="I876" s="1"/>
      <c r="J876" s="1"/>
      <c r="K876" s="1"/>
      <c r="L876" s="1"/>
      <c r="M876" s="1"/>
      <c r="N876" s="1"/>
      <c r="O876" s="1"/>
    </row>
    <row r="877" spans="2:15" x14ac:dyDescent="0.3">
      <c r="B877" s="1"/>
      <c r="C877" s="1"/>
      <c r="D877" s="1"/>
      <c r="E877" s="1"/>
      <c r="F877" s="1"/>
      <c r="G877" s="1"/>
      <c r="H877" s="1"/>
      <c r="I877" s="1"/>
      <c r="J877" s="1"/>
      <c r="K877" s="1"/>
      <c r="L877" s="1"/>
      <c r="M877" s="1"/>
      <c r="N877" s="1"/>
      <c r="O877" s="1"/>
    </row>
    <row r="878" spans="2:15" x14ac:dyDescent="0.3">
      <c r="B878" s="1"/>
      <c r="C878" s="1"/>
      <c r="D878" s="1"/>
      <c r="E878" s="1"/>
      <c r="F878" s="1"/>
      <c r="G878" s="1"/>
      <c r="H878" s="1"/>
      <c r="I878" s="1"/>
      <c r="J878" s="1"/>
      <c r="K878" s="1"/>
      <c r="L878" s="1"/>
      <c r="M878" s="1"/>
      <c r="N878" s="1"/>
      <c r="O878" s="1"/>
    </row>
    <row r="879" spans="2:15" x14ac:dyDescent="0.3">
      <c r="B879" s="1"/>
      <c r="C879" s="1"/>
      <c r="D879" s="1"/>
      <c r="E879" s="1"/>
      <c r="F879" s="1"/>
      <c r="G879" s="1"/>
      <c r="H879" s="1"/>
      <c r="I879" s="1"/>
      <c r="J879" s="1"/>
      <c r="K879" s="1"/>
      <c r="L879" s="1"/>
      <c r="M879" s="1"/>
      <c r="N879" s="1"/>
      <c r="O879" s="1"/>
    </row>
    <row r="880" spans="2:15" x14ac:dyDescent="0.3">
      <c r="B880" s="1"/>
      <c r="C880" s="1"/>
      <c r="D880" s="1"/>
      <c r="E880" s="1"/>
      <c r="F880" s="1"/>
      <c r="G880" s="1"/>
      <c r="H880" s="1"/>
      <c r="I880" s="1"/>
      <c r="J880" s="1"/>
      <c r="K880" s="1"/>
      <c r="L880" s="1"/>
      <c r="M880" s="1"/>
      <c r="N880" s="1"/>
      <c r="O880" s="1"/>
    </row>
    <row r="881" spans="2:15" x14ac:dyDescent="0.3">
      <c r="B881" s="1"/>
      <c r="C881" s="1"/>
      <c r="D881" s="1"/>
      <c r="E881" s="1"/>
      <c r="F881" s="1"/>
      <c r="G881" s="1"/>
      <c r="H881" s="1"/>
      <c r="I881" s="1"/>
      <c r="J881" s="1"/>
      <c r="K881" s="1"/>
      <c r="L881" s="1"/>
      <c r="M881" s="1"/>
      <c r="N881" s="1"/>
      <c r="O881" s="1"/>
    </row>
    <row r="882" spans="2:15" x14ac:dyDescent="0.3">
      <c r="B882" s="1"/>
      <c r="C882" s="1"/>
      <c r="D882" s="1"/>
      <c r="E882" s="1"/>
      <c r="F882" s="1"/>
      <c r="G882" s="1"/>
      <c r="H882" s="1"/>
      <c r="I882" s="1"/>
      <c r="J882" s="1"/>
      <c r="K882" s="1"/>
      <c r="L882" s="1"/>
      <c r="M882" s="1"/>
      <c r="N882" s="1"/>
      <c r="O882" s="1"/>
    </row>
    <row r="883" spans="2:15" x14ac:dyDescent="0.3">
      <c r="B883" s="1"/>
      <c r="C883" s="1"/>
      <c r="D883" s="1"/>
      <c r="E883" s="1"/>
      <c r="F883" s="1"/>
      <c r="G883" s="1"/>
      <c r="H883" s="1"/>
      <c r="I883" s="1"/>
      <c r="J883" s="1"/>
      <c r="K883" s="1"/>
      <c r="L883" s="1"/>
      <c r="M883" s="1"/>
      <c r="N883" s="1"/>
      <c r="O883" s="1"/>
    </row>
    <row r="884" spans="2:15" x14ac:dyDescent="0.3">
      <c r="B884" s="1"/>
      <c r="C884" s="1"/>
      <c r="D884" s="1"/>
      <c r="E884" s="1"/>
      <c r="F884" s="1"/>
      <c r="G884" s="1"/>
      <c r="H884" s="1"/>
      <c r="I884" s="1"/>
      <c r="J884" s="1"/>
      <c r="K884" s="1"/>
      <c r="L884" s="1"/>
      <c r="M884" s="1"/>
      <c r="N884" s="1"/>
      <c r="O884" s="1"/>
    </row>
    <row r="885" spans="2:15" x14ac:dyDescent="0.3">
      <c r="B885" s="1"/>
      <c r="C885" s="1"/>
      <c r="D885" s="1"/>
      <c r="E885" s="1"/>
      <c r="F885" s="1"/>
      <c r="G885" s="1"/>
      <c r="H885" s="1"/>
      <c r="I885" s="1"/>
      <c r="J885" s="1"/>
      <c r="K885" s="1"/>
      <c r="L885" s="1"/>
      <c r="M885" s="1"/>
      <c r="N885" s="1"/>
      <c r="O885" s="1"/>
    </row>
    <row r="886" spans="2:15" x14ac:dyDescent="0.3">
      <c r="B886" s="1"/>
      <c r="C886" s="1"/>
      <c r="D886" s="1"/>
      <c r="E886" s="1"/>
      <c r="F886" s="1"/>
      <c r="G886" s="1"/>
      <c r="H886" s="1"/>
      <c r="I886" s="1"/>
      <c r="J886" s="1"/>
      <c r="K886" s="1"/>
      <c r="L886" s="1"/>
      <c r="M886" s="1"/>
      <c r="N886" s="1"/>
      <c r="O886" s="1"/>
    </row>
    <row r="887" spans="2:15" x14ac:dyDescent="0.3">
      <c r="B887" s="1"/>
      <c r="C887" s="1"/>
      <c r="D887" s="1"/>
      <c r="E887" s="1"/>
      <c r="F887" s="1"/>
      <c r="G887" s="1"/>
      <c r="H887" s="1"/>
      <c r="I887" s="1"/>
      <c r="J887" s="1"/>
      <c r="K887" s="1"/>
      <c r="L887" s="1"/>
      <c r="M887" s="1"/>
      <c r="N887" s="1"/>
      <c r="O887" s="1"/>
    </row>
    <row r="888" spans="2:15" x14ac:dyDescent="0.3">
      <c r="B888" s="1"/>
      <c r="C888" s="1"/>
      <c r="D888" s="1"/>
      <c r="E888" s="1"/>
      <c r="F888" s="1"/>
      <c r="G888" s="1"/>
      <c r="H888" s="1"/>
      <c r="I888" s="1"/>
      <c r="J888" s="1"/>
      <c r="K888" s="1"/>
      <c r="L888" s="1"/>
      <c r="M888" s="1"/>
      <c r="N888" s="1"/>
      <c r="O888" s="1"/>
    </row>
    <row r="889" spans="2:15" x14ac:dyDescent="0.3">
      <c r="B889" s="1"/>
      <c r="C889" s="1"/>
      <c r="D889" s="1"/>
      <c r="E889" s="1"/>
      <c r="F889" s="1"/>
      <c r="G889" s="1"/>
      <c r="H889" s="1"/>
      <c r="I889" s="1"/>
      <c r="J889" s="1"/>
      <c r="K889" s="1"/>
      <c r="L889" s="1"/>
      <c r="M889" s="1"/>
      <c r="N889" s="1"/>
      <c r="O889" s="1"/>
    </row>
    <row r="890" spans="2:15" x14ac:dyDescent="0.3">
      <c r="B890" s="1"/>
      <c r="C890" s="1"/>
      <c r="D890" s="1"/>
      <c r="E890" s="1"/>
      <c r="F890" s="1"/>
      <c r="G890" s="1"/>
      <c r="H890" s="1"/>
      <c r="I890" s="1"/>
      <c r="J890" s="1"/>
      <c r="K890" s="1"/>
      <c r="L890" s="1"/>
      <c r="M890" s="1"/>
      <c r="N890" s="1"/>
      <c r="O890" s="1"/>
    </row>
    <row r="891" spans="2:15" x14ac:dyDescent="0.3">
      <c r="B891" s="1"/>
      <c r="C891" s="1"/>
      <c r="D891" s="1"/>
      <c r="E891" s="1"/>
      <c r="F891" s="1"/>
      <c r="G891" s="1"/>
      <c r="H891" s="1"/>
      <c r="I891" s="1"/>
      <c r="J891" s="1"/>
      <c r="K891" s="1"/>
      <c r="L891" s="1"/>
      <c r="M891" s="1"/>
      <c r="N891" s="1"/>
      <c r="O891" s="1"/>
    </row>
    <row r="892" spans="2:15" x14ac:dyDescent="0.3">
      <c r="B892" s="1"/>
      <c r="C892" s="1"/>
      <c r="D892" s="1"/>
      <c r="E892" s="1"/>
      <c r="F892" s="1"/>
      <c r="G892" s="1"/>
      <c r="H892" s="1"/>
      <c r="I892" s="1"/>
      <c r="J892" s="1"/>
      <c r="K892" s="1"/>
      <c r="L892" s="1"/>
      <c r="M892" s="1"/>
      <c r="N892" s="1"/>
      <c r="O892" s="1"/>
    </row>
    <row r="893" spans="2:15" x14ac:dyDescent="0.3">
      <c r="B893" s="1"/>
      <c r="C893" s="1"/>
      <c r="D893" s="1"/>
      <c r="E893" s="1"/>
      <c r="F893" s="1"/>
      <c r="G893" s="1"/>
      <c r="H893" s="1"/>
      <c r="I893" s="1"/>
      <c r="J893" s="1"/>
      <c r="K893" s="1"/>
      <c r="L893" s="1"/>
      <c r="M893" s="1"/>
      <c r="N893" s="1"/>
      <c r="O893" s="1"/>
    </row>
    <row r="894" spans="2:15" x14ac:dyDescent="0.3">
      <c r="B894" s="1"/>
      <c r="C894" s="1"/>
      <c r="D894" s="1"/>
      <c r="E894" s="1"/>
      <c r="F894" s="1"/>
      <c r="G894" s="1"/>
      <c r="H894" s="1"/>
      <c r="I894" s="1"/>
      <c r="J894" s="1"/>
      <c r="K894" s="1"/>
      <c r="L894" s="1"/>
      <c r="M894" s="1"/>
      <c r="N894" s="1"/>
      <c r="O894" s="1"/>
    </row>
    <row r="895" spans="2:15" x14ac:dyDescent="0.3">
      <c r="B895" s="1"/>
      <c r="C895" s="1"/>
      <c r="D895" s="1"/>
      <c r="E895" s="1"/>
      <c r="F895" s="1"/>
      <c r="G895" s="1"/>
      <c r="H895" s="1"/>
      <c r="I895" s="1"/>
      <c r="J895" s="1"/>
      <c r="K895" s="1"/>
      <c r="L895" s="1"/>
      <c r="M895" s="1"/>
      <c r="N895" s="1"/>
      <c r="O895" s="1"/>
    </row>
    <row r="896" spans="2:15" x14ac:dyDescent="0.3">
      <c r="B896" s="1"/>
      <c r="C896" s="1"/>
      <c r="D896" s="1"/>
      <c r="E896" s="1"/>
      <c r="F896" s="1"/>
      <c r="G896" s="1"/>
      <c r="H896" s="1"/>
      <c r="I896" s="1"/>
      <c r="J896" s="1"/>
      <c r="K896" s="1"/>
      <c r="L896" s="1"/>
      <c r="M896" s="1"/>
      <c r="N896" s="1"/>
      <c r="O896" s="1"/>
    </row>
    <row r="897" spans="2:15" x14ac:dyDescent="0.3">
      <c r="B897" s="1"/>
      <c r="C897" s="1"/>
      <c r="D897" s="1"/>
      <c r="E897" s="1"/>
      <c r="F897" s="1"/>
      <c r="G897" s="1"/>
      <c r="H897" s="1"/>
      <c r="I897" s="1"/>
      <c r="J897" s="1"/>
      <c r="K897" s="1"/>
      <c r="L897" s="1"/>
      <c r="M897" s="1"/>
      <c r="N897" s="1"/>
      <c r="O897" s="1"/>
    </row>
    <row r="898" spans="2:15" x14ac:dyDescent="0.3">
      <c r="B898" s="1"/>
      <c r="C898" s="1"/>
      <c r="D898" s="1"/>
      <c r="E898" s="1"/>
      <c r="F898" s="1"/>
      <c r="G898" s="1"/>
      <c r="H898" s="1"/>
      <c r="I898" s="1"/>
      <c r="J898" s="1"/>
      <c r="K898" s="1"/>
      <c r="L898" s="1"/>
      <c r="M898" s="1"/>
      <c r="N898" s="1"/>
      <c r="O898" s="1"/>
    </row>
    <row r="899" spans="2:15" x14ac:dyDescent="0.3">
      <c r="B899" s="1"/>
      <c r="C899" s="1"/>
      <c r="D899" s="1"/>
      <c r="E899" s="1"/>
      <c r="F899" s="1"/>
      <c r="G899" s="1"/>
      <c r="H899" s="1"/>
      <c r="I899" s="1"/>
      <c r="J899" s="1"/>
      <c r="K899" s="1"/>
      <c r="L899" s="1"/>
      <c r="M899" s="1"/>
      <c r="N899" s="1"/>
      <c r="O899" s="1"/>
    </row>
    <row r="900" spans="2:15" x14ac:dyDescent="0.3">
      <c r="B900" s="1"/>
      <c r="C900" s="1"/>
      <c r="D900" s="1"/>
      <c r="E900" s="1"/>
      <c r="F900" s="1"/>
      <c r="G900" s="1"/>
      <c r="H900" s="1"/>
      <c r="I900" s="1"/>
      <c r="J900" s="1"/>
      <c r="K900" s="1"/>
      <c r="L900" s="1"/>
      <c r="M900" s="1"/>
      <c r="N900" s="1"/>
      <c r="O900" s="1"/>
    </row>
    <row r="901" spans="2:15" x14ac:dyDescent="0.3">
      <c r="B901" s="1"/>
      <c r="C901" s="1"/>
      <c r="D901" s="1"/>
      <c r="E901" s="1"/>
      <c r="F901" s="1"/>
      <c r="G901" s="1"/>
      <c r="H901" s="1"/>
      <c r="I901" s="1"/>
      <c r="J901" s="1"/>
      <c r="K901" s="1"/>
      <c r="L901" s="1"/>
      <c r="M901" s="1"/>
      <c r="N901" s="1"/>
      <c r="O901" s="1"/>
    </row>
    <row r="902" spans="2:15" x14ac:dyDescent="0.3">
      <c r="B902" s="1"/>
      <c r="C902" s="1"/>
      <c r="D902" s="1"/>
      <c r="E902" s="1"/>
      <c r="F902" s="1"/>
      <c r="G902" s="1"/>
      <c r="H902" s="1"/>
      <c r="I902" s="1"/>
      <c r="J902" s="1"/>
      <c r="K902" s="1"/>
      <c r="L902" s="1"/>
      <c r="M902" s="1"/>
      <c r="N902" s="1"/>
      <c r="O902" s="1"/>
    </row>
    <row r="903" spans="2:15" x14ac:dyDescent="0.3">
      <c r="B903" s="1"/>
      <c r="C903" s="1"/>
      <c r="D903" s="1"/>
      <c r="E903" s="1"/>
      <c r="F903" s="1"/>
      <c r="G903" s="1"/>
      <c r="H903" s="1"/>
      <c r="I903" s="1"/>
      <c r="J903" s="1"/>
      <c r="K903" s="1"/>
      <c r="L903" s="1"/>
      <c r="M903" s="1"/>
      <c r="N903" s="1"/>
      <c r="O903" s="1"/>
    </row>
    <row r="904" spans="2:15" x14ac:dyDescent="0.3">
      <c r="B904" s="1"/>
      <c r="C904" s="1"/>
      <c r="D904" s="1"/>
      <c r="E904" s="1"/>
      <c r="F904" s="1"/>
      <c r="G904" s="1"/>
      <c r="H904" s="1"/>
      <c r="I904" s="1"/>
      <c r="J904" s="1"/>
      <c r="K904" s="1"/>
      <c r="L904" s="1"/>
      <c r="M904" s="1"/>
      <c r="N904" s="1"/>
      <c r="O904" s="1"/>
    </row>
    <row r="905" spans="2:15" x14ac:dyDescent="0.3">
      <c r="B905" s="1"/>
      <c r="C905" s="1"/>
      <c r="D905" s="1"/>
      <c r="E905" s="1"/>
      <c r="F905" s="1"/>
      <c r="G905" s="1"/>
      <c r="H905" s="1"/>
      <c r="I905" s="1"/>
      <c r="J905" s="1"/>
      <c r="K905" s="1"/>
      <c r="L905" s="1"/>
      <c r="M905" s="1"/>
      <c r="N905" s="1"/>
      <c r="O905" s="1"/>
    </row>
    <row r="906" spans="2:15" x14ac:dyDescent="0.3">
      <c r="B906" s="1"/>
      <c r="C906" s="1"/>
      <c r="D906" s="1"/>
      <c r="E906" s="1"/>
      <c r="F906" s="1"/>
      <c r="G906" s="1"/>
      <c r="H906" s="1"/>
      <c r="I906" s="1"/>
      <c r="J906" s="1"/>
      <c r="K906" s="1"/>
      <c r="L906" s="1"/>
      <c r="M906" s="1"/>
      <c r="N906" s="1"/>
      <c r="O906" s="1"/>
    </row>
    <row r="907" spans="2:15" x14ac:dyDescent="0.3">
      <c r="B907" s="1"/>
      <c r="C907" s="1"/>
      <c r="D907" s="1"/>
      <c r="E907" s="1"/>
      <c r="F907" s="1"/>
      <c r="G907" s="1"/>
      <c r="H907" s="1"/>
      <c r="I907" s="1"/>
      <c r="J907" s="1"/>
      <c r="K907" s="1"/>
      <c r="L907" s="1"/>
      <c r="M907" s="1"/>
      <c r="N907" s="1"/>
      <c r="O907" s="1"/>
    </row>
    <row r="908" spans="2:15" x14ac:dyDescent="0.3">
      <c r="B908" s="1"/>
      <c r="C908" s="1"/>
      <c r="D908" s="1"/>
      <c r="E908" s="1"/>
      <c r="F908" s="1"/>
      <c r="G908" s="1"/>
      <c r="H908" s="1"/>
      <c r="I908" s="1"/>
      <c r="J908" s="1"/>
      <c r="K908" s="1"/>
      <c r="L908" s="1"/>
      <c r="M908" s="1"/>
      <c r="N908" s="1"/>
      <c r="O908" s="1"/>
    </row>
    <row r="909" spans="2:15" x14ac:dyDescent="0.3">
      <c r="B909" s="1"/>
      <c r="C909" s="1"/>
      <c r="D909" s="1"/>
      <c r="E909" s="1"/>
      <c r="F909" s="1"/>
      <c r="G909" s="1"/>
      <c r="H909" s="1"/>
      <c r="I909" s="1"/>
      <c r="J909" s="1"/>
      <c r="K909" s="1"/>
      <c r="L909" s="1"/>
      <c r="M909" s="1"/>
      <c r="N909" s="1"/>
      <c r="O909" s="1"/>
    </row>
    <row r="910" spans="2:15" x14ac:dyDescent="0.3">
      <c r="B910" s="1"/>
      <c r="C910" s="1"/>
      <c r="D910" s="1"/>
      <c r="E910" s="1"/>
      <c r="F910" s="1"/>
      <c r="G910" s="1"/>
      <c r="H910" s="1"/>
      <c r="I910" s="1"/>
      <c r="J910" s="1"/>
      <c r="K910" s="1"/>
      <c r="L910" s="1"/>
      <c r="M910" s="1"/>
      <c r="N910" s="1"/>
      <c r="O910" s="1"/>
    </row>
    <row r="911" spans="2:15" x14ac:dyDescent="0.3">
      <c r="B911" s="1"/>
      <c r="C911" s="1"/>
      <c r="D911" s="1"/>
      <c r="E911" s="1"/>
      <c r="F911" s="1"/>
      <c r="G911" s="1"/>
      <c r="H911" s="1"/>
      <c r="I911" s="1"/>
      <c r="J911" s="1"/>
      <c r="K911" s="1"/>
      <c r="L911" s="1"/>
      <c r="M911" s="1"/>
      <c r="N911" s="1"/>
      <c r="O911" s="1"/>
    </row>
    <row r="912" spans="2:15" x14ac:dyDescent="0.3">
      <c r="B912" s="1"/>
      <c r="C912" s="1"/>
      <c r="D912" s="1"/>
      <c r="E912" s="1"/>
      <c r="F912" s="1"/>
      <c r="G912" s="1"/>
      <c r="H912" s="1"/>
      <c r="I912" s="1"/>
      <c r="J912" s="1"/>
      <c r="K912" s="1"/>
      <c r="L912" s="1"/>
      <c r="M912" s="1"/>
      <c r="N912" s="1"/>
      <c r="O912" s="1"/>
    </row>
    <row r="913" spans="2:15" x14ac:dyDescent="0.3">
      <c r="B913" s="1"/>
      <c r="C913" s="1"/>
      <c r="D913" s="1"/>
      <c r="E913" s="1"/>
      <c r="F913" s="1"/>
      <c r="G913" s="1"/>
      <c r="H913" s="1"/>
      <c r="I913" s="1"/>
      <c r="J913" s="1"/>
      <c r="K913" s="1"/>
      <c r="L913" s="1"/>
      <c r="M913" s="1"/>
      <c r="N913" s="1"/>
      <c r="O913" s="1"/>
    </row>
    <row r="914" spans="2:15" x14ac:dyDescent="0.3">
      <c r="B914" s="1"/>
      <c r="C914" s="1"/>
      <c r="D914" s="1"/>
      <c r="E914" s="1"/>
      <c r="F914" s="1"/>
      <c r="G914" s="1"/>
      <c r="H914" s="1"/>
      <c r="I914" s="1"/>
      <c r="J914" s="1"/>
      <c r="K914" s="1"/>
      <c r="L914" s="1"/>
      <c r="M914" s="1"/>
      <c r="N914" s="1"/>
      <c r="O914" s="1"/>
    </row>
    <row r="915" spans="2:15" x14ac:dyDescent="0.3">
      <c r="B915" s="1"/>
      <c r="C915" s="1"/>
      <c r="D915" s="1"/>
      <c r="E915" s="1"/>
      <c r="F915" s="1"/>
      <c r="G915" s="1"/>
      <c r="H915" s="1"/>
      <c r="I915" s="1"/>
      <c r="J915" s="1"/>
      <c r="K915" s="1"/>
      <c r="L915" s="1"/>
      <c r="M915" s="1"/>
      <c r="N915" s="1"/>
      <c r="O915" s="1"/>
    </row>
    <row r="916" spans="2:15" x14ac:dyDescent="0.3">
      <c r="B916" s="1"/>
      <c r="C916" s="1"/>
      <c r="D916" s="1"/>
      <c r="E916" s="1"/>
      <c r="F916" s="1"/>
      <c r="G916" s="1"/>
      <c r="H916" s="1"/>
      <c r="I916" s="1"/>
      <c r="J916" s="1"/>
      <c r="K916" s="1"/>
      <c r="L916" s="1"/>
      <c r="M916" s="1"/>
      <c r="N916" s="1"/>
      <c r="O916" s="1"/>
    </row>
    <row r="917" spans="2:15" x14ac:dyDescent="0.3">
      <c r="B917" s="1"/>
      <c r="C917" s="1"/>
      <c r="D917" s="1"/>
      <c r="E917" s="1"/>
      <c r="F917" s="1"/>
      <c r="G917" s="1"/>
      <c r="H917" s="1"/>
      <c r="I917" s="1"/>
      <c r="J917" s="1"/>
      <c r="K917" s="1"/>
      <c r="L917" s="1"/>
      <c r="M917" s="1"/>
      <c r="N917" s="1"/>
      <c r="O917" s="1"/>
    </row>
    <row r="918" spans="2:15" x14ac:dyDescent="0.3">
      <c r="B918" s="1"/>
      <c r="C918" s="1"/>
      <c r="D918" s="1"/>
      <c r="E918" s="1"/>
      <c r="F918" s="1"/>
      <c r="G918" s="1"/>
      <c r="H918" s="1"/>
      <c r="I918" s="1"/>
      <c r="J918" s="1"/>
      <c r="K918" s="1"/>
      <c r="L918" s="1"/>
      <c r="M918" s="1"/>
      <c r="N918" s="1"/>
      <c r="O918" s="1"/>
    </row>
    <row r="919" spans="2:15" x14ac:dyDescent="0.3">
      <c r="B919" s="1"/>
      <c r="C919" s="1"/>
      <c r="D919" s="1"/>
      <c r="E919" s="1"/>
      <c r="F919" s="1"/>
      <c r="G919" s="1"/>
      <c r="H919" s="1"/>
      <c r="I919" s="1"/>
      <c r="J919" s="1"/>
      <c r="K919" s="1"/>
      <c r="L919" s="1"/>
      <c r="M919" s="1"/>
      <c r="N919" s="1"/>
      <c r="O919" s="1"/>
    </row>
    <row r="920" spans="2:15" x14ac:dyDescent="0.3">
      <c r="B920" s="1"/>
      <c r="C920" s="1"/>
      <c r="D920" s="1"/>
      <c r="E920" s="1"/>
      <c r="F920" s="1"/>
      <c r="G920" s="1"/>
      <c r="H920" s="1"/>
      <c r="I920" s="1"/>
      <c r="J920" s="1"/>
      <c r="K920" s="1"/>
      <c r="L920" s="1"/>
      <c r="M920" s="1"/>
      <c r="N920" s="1"/>
      <c r="O920" s="1"/>
    </row>
    <row r="921" spans="2:15" x14ac:dyDescent="0.3">
      <c r="B921" s="1"/>
      <c r="C921" s="1"/>
      <c r="D921" s="1"/>
      <c r="E921" s="1"/>
      <c r="F921" s="1"/>
      <c r="G921" s="1"/>
      <c r="H921" s="1"/>
      <c r="I921" s="1"/>
      <c r="J921" s="1"/>
      <c r="K921" s="1"/>
      <c r="L921" s="1"/>
      <c r="M921" s="1"/>
      <c r="N921" s="1"/>
      <c r="O921" s="1"/>
    </row>
    <row r="922" spans="2:15" x14ac:dyDescent="0.3">
      <c r="B922" s="1"/>
      <c r="C922" s="1"/>
      <c r="D922" s="1"/>
      <c r="E922" s="1"/>
      <c r="F922" s="1"/>
      <c r="G922" s="1"/>
      <c r="H922" s="1"/>
      <c r="I922" s="1"/>
      <c r="J922" s="1"/>
      <c r="K922" s="1"/>
      <c r="L922" s="1"/>
      <c r="M922" s="1"/>
      <c r="N922" s="1"/>
      <c r="O922" s="1"/>
    </row>
    <row r="923" spans="2:15" x14ac:dyDescent="0.3">
      <c r="B923" s="1"/>
      <c r="C923" s="1"/>
      <c r="D923" s="1"/>
      <c r="E923" s="1"/>
      <c r="F923" s="1"/>
      <c r="G923" s="1"/>
      <c r="H923" s="1"/>
      <c r="I923" s="1"/>
      <c r="J923" s="1"/>
      <c r="K923" s="1"/>
      <c r="L923" s="1"/>
      <c r="M923" s="1"/>
      <c r="N923" s="1"/>
      <c r="O923" s="1"/>
    </row>
    <row r="924" spans="2:15" x14ac:dyDescent="0.3">
      <c r="B924" s="1"/>
      <c r="C924" s="1"/>
      <c r="D924" s="1"/>
      <c r="E924" s="1"/>
      <c r="F924" s="1"/>
      <c r="G924" s="1"/>
      <c r="H924" s="1"/>
      <c r="I924" s="1"/>
      <c r="J924" s="1"/>
      <c r="K924" s="1"/>
      <c r="L924" s="1"/>
      <c r="M924" s="1"/>
      <c r="N924" s="1"/>
      <c r="O924" s="1"/>
    </row>
    <row r="925" spans="2:15" x14ac:dyDescent="0.3">
      <c r="B925" s="1"/>
      <c r="C925" s="1"/>
      <c r="D925" s="1"/>
      <c r="E925" s="1"/>
      <c r="F925" s="1"/>
      <c r="G925" s="1"/>
      <c r="H925" s="1"/>
      <c r="I925" s="1"/>
      <c r="J925" s="1"/>
      <c r="K925" s="1"/>
      <c r="L925" s="1"/>
      <c r="M925" s="1"/>
      <c r="N925" s="1"/>
      <c r="O925" s="1"/>
    </row>
    <row r="926" spans="2:15" x14ac:dyDescent="0.3">
      <c r="B926" s="1"/>
      <c r="C926" s="1"/>
      <c r="D926" s="1"/>
      <c r="E926" s="1"/>
      <c r="F926" s="1"/>
      <c r="G926" s="1"/>
      <c r="H926" s="1"/>
      <c r="I926" s="1"/>
      <c r="J926" s="1"/>
      <c r="K926" s="1"/>
      <c r="L926" s="1"/>
      <c r="M926" s="1"/>
      <c r="N926" s="1"/>
      <c r="O926" s="1"/>
    </row>
    <row r="927" spans="2:15" x14ac:dyDescent="0.3">
      <c r="B927" s="1"/>
      <c r="C927" s="1"/>
      <c r="D927" s="1"/>
      <c r="E927" s="1"/>
      <c r="F927" s="1"/>
      <c r="G927" s="1"/>
      <c r="H927" s="1"/>
      <c r="I927" s="1"/>
      <c r="J927" s="1"/>
      <c r="K927" s="1"/>
      <c r="L927" s="1"/>
      <c r="M927" s="1"/>
      <c r="N927" s="1"/>
      <c r="O927" s="1"/>
    </row>
    <row r="928" spans="2:15" x14ac:dyDescent="0.3">
      <c r="B928" s="1"/>
      <c r="C928" s="1"/>
      <c r="D928" s="1"/>
      <c r="E928" s="1"/>
      <c r="F928" s="1"/>
      <c r="G928" s="1"/>
      <c r="H928" s="1"/>
      <c r="I928" s="1"/>
      <c r="J928" s="1"/>
      <c r="K928" s="1"/>
      <c r="L928" s="1"/>
      <c r="M928" s="1"/>
      <c r="N928" s="1"/>
      <c r="O928" s="1"/>
    </row>
    <row r="929" spans="2:15" x14ac:dyDescent="0.3">
      <c r="B929" s="1"/>
      <c r="C929" s="1"/>
      <c r="D929" s="1"/>
      <c r="E929" s="1"/>
      <c r="F929" s="1"/>
      <c r="G929" s="1"/>
      <c r="H929" s="1"/>
      <c r="I929" s="1"/>
      <c r="J929" s="1"/>
      <c r="K929" s="1"/>
      <c r="L929" s="1"/>
      <c r="M929" s="1"/>
      <c r="N929" s="1"/>
      <c r="O929" s="1"/>
    </row>
    <row r="930" spans="2:15" x14ac:dyDescent="0.3">
      <c r="B930" s="1"/>
      <c r="C930" s="1"/>
      <c r="D930" s="1"/>
      <c r="E930" s="1"/>
      <c r="F930" s="1"/>
      <c r="G930" s="1"/>
      <c r="H930" s="1"/>
      <c r="I930" s="1"/>
      <c r="J930" s="1"/>
      <c r="K930" s="1"/>
      <c r="L930" s="1"/>
      <c r="M930" s="1"/>
      <c r="N930" s="1"/>
      <c r="O930" s="1"/>
    </row>
    <row r="931" spans="2:15" x14ac:dyDescent="0.3">
      <c r="B931" s="1"/>
      <c r="C931" s="1"/>
      <c r="D931" s="1"/>
      <c r="E931" s="1"/>
      <c r="F931" s="1"/>
      <c r="G931" s="1"/>
      <c r="H931" s="1"/>
      <c r="I931" s="1"/>
      <c r="J931" s="1"/>
      <c r="K931" s="1"/>
      <c r="L931" s="1"/>
      <c r="M931" s="1"/>
      <c r="N931" s="1"/>
      <c r="O931" s="1"/>
    </row>
    <row r="932" spans="2:15" x14ac:dyDescent="0.3">
      <c r="B932" s="1"/>
      <c r="C932" s="1"/>
      <c r="D932" s="1"/>
      <c r="E932" s="1"/>
      <c r="F932" s="1"/>
      <c r="G932" s="1"/>
      <c r="H932" s="1"/>
      <c r="I932" s="1"/>
      <c r="J932" s="1"/>
      <c r="K932" s="1"/>
      <c r="L932" s="1"/>
      <c r="M932" s="1"/>
      <c r="N932" s="1"/>
      <c r="O932" s="1"/>
    </row>
    <row r="933" spans="2:15" x14ac:dyDescent="0.3">
      <c r="B933" s="1"/>
      <c r="C933" s="1"/>
      <c r="D933" s="1"/>
      <c r="E933" s="1"/>
      <c r="F933" s="1"/>
      <c r="G933" s="1"/>
      <c r="H933" s="1"/>
      <c r="I933" s="1"/>
      <c r="J933" s="1"/>
      <c r="K933" s="1"/>
      <c r="L933" s="1"/>
      <c r="M933" s="1"/>
      <c r="N933" s="1"/>
      <c r="O933" s="1"/>
    </row>
    <row r="934" spans="2:15" x14ac:dyDescent="0.3">
      <c r="B934" s="1"/>
      <c r="C934" s="1"/>
      <c r="D934" s="1"/>
      <c r="E934" s="1"/>
      <c r="F934" s="1"/>
      <c r="G934" s="1"/>
      <c r="H934" s="1"/>
      <c r="I934" s="1"/>
      <c r="J934" s="1"/>
      <c r="K934" s="1"/>
      <c r="L934" s="1"/>
      <c r="M934" s="1"/>
      <c r="N934" s="1"/>
      <c r="O934" s="1"/>
    </row>
    <row r="935" spans="2:15" x14ac:dyDescent="0.3">
      <c r="B935" s="1"/>
      <c r="C935" s="1"/>
      <c r="D935" s="1"/>
      <c r="E935" s="1"/>
      <c r="F935" s="1"/>
      <c r="G935" s="1"/>
      <c r="H935" s="1"/>
      <c r="I935" s="1"/>
      <c r="J935" s="1"/>
      <c r="K935" s="1"/>
      <c r="L935" s="1"/>
      <c r="M935" s="1"/>
      <c r="N935" s="1"/>
      <c r="O935" s="1"/>
    </row>
    <row r="936" spans="2:15" x14ac:dyDescent="0.3">
      <c r="B936" s="1"/>
      <c r="C936" s="1"/>
      <c r="D936" s="1"/>
      <c r="E936" s="1"/>
      <c r="F936" s="1"/>
      <c r="G936" s="1"/>
      <c r="H936" s="1"/>
      <c r="I936" s="1"/>
      <c r="J936" s="1"/>
      <c r="K936" s="1"/>
      <c r="L936" s="1"/>
      <c r="M936" s="1"/>
      <c r="N936" s="1"/>
      <c r="O936" s="1"/>
    </row>
    <row r="937" spans="2:15" x14ac:dyDescent="0.3">
      <c r="B937" s="1"/>
      <c r="C937" s="1"/>
      <c r="D937" s="1"/>
      <c r="E937" s="1"/>
      <c r="F937" s="1"/>
      <c r="G937" s="1"/>
      <c r="H937" s="1"/>
      <c r="I937" s="1"/>
      <c r="J937" s="1"/>
      <c r="K937" s="1"/>
      <c r="L937" s="1"/>
      <c r="M937" s="1"/>
      <c r="N937" s="1"/>
      <c r="O937" s="1"/>
    </row>
    <row r="938" spans="2:15" x14ac:dyDescent="0.3">
      <c r="B938" s="1"/>
      <c r="C938" s="1"/>
      <c r="D938" s="1"/>
      <c r="E938" s="1"/>
      <c r="F938" s="1"/>
      <c r="G938" s="1"/>
      <c r="H938" s="1"/>
      <c r="I938" s="1"/>
      <c r="J938" s="1"/>
      <c r="K938" s="1"/>
      <c r="L938" s="1"/>
      <c r="M938" s="1"/>
      <c r="N938" s="1"/>
      <c r="O938" s="1"/>
    </row>
    <row r="939" spans="2:15" x14ac:dyDescent="0.3">
      <c r="B939" s="1"/>
      <c r="C939" s="1"/>
      <c r="D939" s="1"/>
      <c r="E939" s="1"/>
      <c r="F939" s="1"/>
      <c r="G939" s="1"/>
      <c r="H939" s="1"/>
      <c r="I939" s="1"/>
      <c r="J939" s="1"/>
      <c r="K939" s="1"/>
      <c r="L939" s="1"/>
      <c r="M939" s="1"/>
      <c r="N939" s="1"/>
      <c r="O939" s="1"/>
    </row>
    <row r="940" spans="2:15" x14ac:dyDescent="0.3">
      <c r="B940" s="1"/>
      <c r="C940" s="1"/>
      <c r="D940" s="1"/>
      <c r="E940" s="1"/>
      <c r="F940" s="1"/>
      <c r="G940" s="1"/>
      <c r="H940" s="1"/>
      <c r="I940" s="1"/>
      <c r="J940" s="1"/>
      <c r="K940" s="1"/>
      <c r="L940" s="1"/>
      <c r="M940" s="1"/>
      <c r="N940" s="1"/>
      <c r="O940" s="1"/>
    </row>
    <row r="941" spans="2:15" x14ac:dyDescent="0.3">
      <c r="B941" s="1"/>
      <c r="C941" s="1"/>
      <c r="D941" s="1"/>
      <c r="E941" s="1"/>
      <c r="F941" s="1"/>
      <c r="G941" s="1"/>
      <c r="H941" s="1"/>
      <c r="I941" s="1"/>
      <c r="J941" s="1"/>
      <c r="K941" s="1"/>
      <c r="L941" s="1"/>
      <c r="M941" s="1"/>
      <c r="N941" s="1"/>
      <c r="O941" s="1"/>
    </row>
    <row r="942" spans="2:15" x14ac:dyDescent="0.3">
      <c r="B942" s="1"/>
      <c r="C942" s="1"/>
      <c r="D942" s="1"/>
      <c r="E942" s="1"/>
      <c r="F942" s="1"/>
      <c r="G942" s="1"/>
      <c r="H942" s="1"/>
      <c r="I942" s="1"/>
      <c r="J942" s="1"/>
      <c r="K942" s="1"/>
      <c r="L942" s="1"/>
      <c r="M942" s="1"/>
      <c r="N942" s="1"/>
      <c r="O942" s="1"/>
    </row>
    <row r="943" spans="2:15" x14ac:dyDescent="0.3">
      <c r="B943" s="1"/>
      <c r="C943" s="1"/>
      <c r="D943" s="1"/>
      <c r="E943" s="1"/>
      <c r="F943" s="1"/>
      <c r="G943" s="1"/>
      <c r="H943" s="1"/>
      <c r="I943" s="1"/>
      <c r="J943" s="1"/>
      <c r="K943" s="1"/>
      <c r="L943" s="1"/>
      <c r="M943" s="1"/>
      <c r="N943" s="1"/>
      <c r="O943" s="1"/>
    </row>
    <row r="944" spans="2:15" x14ac:dyDescent="0.3">
      <c r="B944" s="1"/>
      <c r="C944" s="1"/>
      <c r="D944" s="1"/>
      <c r="E944" s="1"/>
      <c r="F944" s="1"/>
      <c r="G944" s="1"/>
      <c r="H944" s="1"/>
      <c r="I944" s="1"/>
      <c r="J944" s="1"/>
      <c r="K944" s="1"/>
      <c r="L944" s="1"/>
      <c r="M944" s="1"/>
      <c r="N944" s="1"/>
      <c r="O944" s="1"/>
    </row>
    <row r="945" spans="2:15" x14ac:dyDescent="0.3">
      <c r="B945" s="1"/>
      <c r="C945" s="1"/>
      <c r="D945" s="1"/>
      <c r="E945" s="1"/>
      <c r="F945" s="1"/>
      <c r="G945" s="1"/>
      <c r="H945" s="1"/>
      <c r="I945" s="1"/>
      <c r="J945" s="1"/>
      <c r="K945" s="1"/>
      <c r="L945" s="1"/>
      <c r="M945" s="1"/>
      <c r="N945" s="1"/>
      <c r="O945" s="1"/>
    </row>
    <row r="946" spans="2:15" x14ac:dyDescent="0.3">
      <c r="B946" s="1"/>
      <c r="C946" s="1"/>
      <c r="D946" s="1"/>
      <c r="E946" s="1"/>
      <c r="F946" s="1"/>
      <c r="G946" s="1"/>
      <c r="H946" s="1"/>
      <c r="I946" s="1"/>
      <c r="J946" s="1"/>
      <c r="K946" s="1"/>
      <c r="L946" s="1"/>
      <c r="M946" s="1"/>
      <c r="N946" s="1"/>
      <c r="O946" s="1"/>
    </row>
    <row r="947" spans="2:15" x14ac:dyDescent="0.3">
      <c r="B947" s="1"/>
      <c r="C947" s="1"/>
      <c r="D947" s="1"/>
      <c r="E947" s="1"/>
      <c r="F947" s="1"/>
      <c r="G947" s="1"/>
      <c r="H947" s="1"/>
      <c r="I947" s="1"/>
      <c r="J947" s="1"/>
      <c r="K947" s="1"/>
      <c r="L947" s="1"/>
      <c r="M947" s="1"/>
      <c r="N947" s="1"/>
      <c r="O947" s="1"/>
    </row>
    <row r="948" spans="2:15" x14ac:dyDescent="0.3">
      <c r="B948" s="1"/>
      <c r="C948" s="1"/>
      <c r="D948" s="1"/>
      <c r="E948" s="1"/>
      <c r="F948" s="1"/>
      <c r="G948" s="1"/>
      <c r="H948" s="1"/>
      <c r="I948" s="1"/>
      <c r="J948" s="1"/>
      <c r="K948" s="1"/>
      <c r="L948" s="1"/>
      <c r="M948" s="1"/>
      <c r="N948" s="1"/>
      <c r="O948" s="1"/>
    </row>
    <row r="949" spans="2:15" x14ac:dyDescent="0.3">
      <c r="B949" s="1"/>
      <c r="C949" s="1"/>
      <c r="D949" s="1"/>
      <c r="E949" s="1"/>
      <c r="F949" s="1"/>
      <c r="G949" s="1"/>
      <c r="H949" s="1"/>
      <c r="I949" s="1"/>
      <c r="J949" s="1"/>
      <c r="K949" s="1"/>
      <c r="L949" s="1"/>
      <c r="M949" s="1"/>
      <c r="N949" s="1"/>
      <c r="O949" s="1"/>
    </row>
    <row r="950" spans="2:15" x14ac:dyDescent="0.3">
      <c r="B950" s="1"/>
      <c r="C950" s="1"/>
      <c r="D950" s="1"/>
      <c r="E950" s="1"/>
      <c r="F950" s="1"/>
      <c r="G950" s="1"/>
      <c r="H950" s="1"/>
      <c r="I950" s="1"/>
      <c r="J950" s="1"/>
      <c r="K950" s="1"/>
      <c r="L950" s="1"/>
      <c r="M950" s="1"/>
      <c r="N950" s="1"/>
      <c r="O950" s="1"/>
    </row>
    <row r="951" spans="2:15" x14ac:dyDescent="0.3">
      <c r="B951" s="1"/>
      <c r="C951" s="1"/>
      <c r="D951" s="1"/>
      <c r="E951" s="1"/>
      <c r="F951" s="1"/>
      <c r="G951" s="1"/>
      <c r="H951" s="1"/>
      <c r="I951" s="1"/>
      <c r="J951" s="1"/>
      <c r="K951" s="1"/>
      <c r="L951" s="1"/>
      <c r="M951" s="1"/>
      <c r="N951" s="1"/>
      <c r="O951" s="1"/>
    </row>
    <row r="952" spans="2:15" x14ac:dyDescent="0.3">
      <c r="B952" s="1"/>
      <c r="C952" s="1"/>
      <c r="D952" s="1"/>
      <c r="E952" s="1"/>
      <c r="F952" s="1"/>
      <c r="G952" s="1"/>
      <c r="H952" s="1"/>
      <c r="I952" s="1"/>
      <c r="J952" s="1"/>
      <c r="K952" s="1"/>
      <c r="L952" s="1"/>
      <c r="M952" s="1"/>
      <c r="N952" s="1"/>
      <c r="O952" s="1"/>
    </row>
    <row r="953" spans="2:15" x14ac:dyDescent="0.3">
      <c r="B953" s="1"/>
      <c r="C953" s="1"/>
      <c r="D953" s="1"/>
      <c r="E953" s="1"/>
      <c r="F953" s="1"/>
      <c r="G953" s="1"/>
      <c r="H953" s="1"/>
      <c r="I953" s="1"/>
      <c r="J953" s="1"/>
      <c r="K953" s="1"/>
      <c r="L953" s="1"/>
      <c r="M953" s="1"/>
      <c r="N953" s="1"/>
      <c r="O953" s="1"/>
    </row>
    <row r="954" spans="2:15" x14ac:dyDescent="0.3">
      <c r="B954" s="1"/>
      <c r="C954" s="1"/>
      <c r="D954" s="1"/>
      <c r="E954" s="1"/>
      <c r="F954" s="1"/>
      <c r="G954" s="1"/>
      <c r="H954" s="1"/>
      <c r="I954" s="1"/>
      <c r="J954" s="1"/>
      <c r="K954" s="1"/>
      <c r="L954" s="1"/>
      <c r="M954" s="1"/>
      <c r="N954" s="1"/>
      <c r="O954" s="1"/>
    </row>
    <row r="955" spans="2:15" x14ac:dyDescent="0.3">
      <c r="B955" s="1"/>
      <c r="C955" s="1"/>
      <c r="D955" s="1"/>
      <c r="E955" s="1"/>
      <c r="F955" s="1"/>
      <c r="G955" s="1"/>
      <c r="H955" s="1"/>
      <c r="I955" s="1"/>
      <c r="J955" s="1"/>
      <c r="K955" s="1"/>
      <c r="L955" s="1"/>
      <c r="M955" s="1"/>
      <c r="N955" s="1"/>
      <c r="O955" s="1"/>
    </row>
    <row r="956" spans="2:15" x14ac:dyDescent="0.3">
      <c r="B956" s="1"/>
      <c r="C956" s="1"/>
      <c r="D956" s="1"/>
      <c r="E956" s="1"/>
      <c r="F956" s="1"/>
      <c r="G956" s="1"/>
      <c r="H956" s="1"/>
      <c r="I956" s="1"/>
      <c r="J956" s="1"/>
      <c r="K956" s="1"/>
      <c r="L956" s="1"/>
      <c r="M956" s="1"/>
      <c r="N956" s="1"/>
      <c r="O956" s="1"/>
    </row>
    <row r="957" spans="2:15" x14ac:dyDescent="0.3">
      <c r="B957" s="1"/>
      <c r="C957" s="1"/>
      <c r="D957" s="1"/>
      <c r="E957" s="1"/>
      <c r="F957" s="1"/>
      <c r="G957" s="1"/>
      <c r="H957" s="1"/>
      <c r="I957" s="1"/>
      <c r="J957" s="1"/>
      <c r="K957" s="1"/>
      <c r="L957" s="1"/>
      <c r="M957" s="1"/>
      <c r="N957" s="1"/>
      <c r="O957" s="1"/>
    </row>
    <row r="958" spans="2:15" x14ac:dyDescent="0.3">
      <c r="B958" s="1"/>
      <c r="C958" s="1"/>
      <c r="D958" s="1"/>
      <c r="E958" s="1"/>
      <c r="F958" s="1"/>
      <c r="G958" s="1"/>
      <c r="H958" s="1"/>
      <c r="I958" s="1"/>
      <c r="J958" s="1"/>
      <c r="K958" s="1"/>
      <c r="L958" s="1"/>
      <c r="M958" s="1"/>
      <c r="N958" s="1"/>
      <c r="O958" s="1"/>
    </row>
    <row r="959" spans="2:15" x14ac:dyDescent="0.3">
      <c r="B959" s="1"/>
      <c r="C959" s="1"/>
      <c r="D959" s="1"/>
      <c r="E959" s="1"/>
      <c r="F959" s="1"/>
      <c r="G959" s="1"/>
      <c r="H959" s="1"/>
      <c r="I959" s="1"/>
      <c r="J959" s="1"/>
      <c r="K959" s="1"/>
      <c r="L959" s="1"/>
      <c r="M959" s="1"/>
      <c r="N959" s="1"/>
      <c r="O959" s="1"/>
    </row>
    <row r="960" spans="2:15" x14ac:dyDescent="0.3">
      <c r="B960" s="1"/>
      <c r="C960" s="1"/>
      <c r="D960" s="1"/>
      <c r="E960" s="1"/>
      <c r="F960" s="1"/>
      <c r="G960" s="1"/>
      <c r="H960" s="1"/>
      <c r="I960" s="1"/>
      <c r="J960" s="1"/>
      <c r="K960" s="1"/>
      <c r="L960" s="1"/>
      <c r="M960" s="1"/>
      <c r="N960" s="1"/>
      <c r="O960" s="1"/>
    </row>
    <row r="961" spans="2:15" x14ac:dyDescent="0.3">
      <c r="B961" s="1"/>
      <c r="C961" s="1"/>
      <c r="D961" s="1"/>
      <c r="E961" s="1"/>
      <c r="F961" s="1"/>
      <c r="G961" s="1"/>
      <c r="H961" s="1"/>
      <c r="I961" s="1"/>
      <c r="J961" s="1"/>
      <c r="K961" s="1"/>
      <c r="L961" s="1"/>
      <c r="M961" s="1"/>
      <c r="N961" s="1"/>
      <c r="O961" s="1"/>
    </row>
    <row r="962" spans="2:15" x14ac:dyDescent="0.3">
      <c r="B962" s="1"/>
      <c r="C962" s="1"/>
      <c r="D962" s="1"/>
      <c r="E962" s="1"/>
      <c r="F962" s="1"/>
      <c r="G962" s="1"/>
      <c r="H962" s="1"/>
      <c r="I962" s="1"/>
      <c r="J962" s="1"/>
      <c r="K962" s="1"/>
      <c r="L962" s="1"/>
      <c r="M962" s="1"/>
      <c r="N962" s="1"/>
      <c r="O962" s="1"/>
    </row>
    <row r="963" spans="2:15" x14ac:dyDescent="0.3">
      <c r="B963" s="1"/>
      <c r="C963" s="1"/>
      <c r="D963" s="1"/>
      <c r="E963" s="1"/>
      <c r="F963" s="1"/>
      <c r="G963" s="1"/>
      <c r="H963" s="1"/>
      <c r="I963" s="1"/>
      <c r="J963" s="1"/>
      <c r="K963" s="1"/>
      <c r="L963" s="1"/>
      <c r="M963" s="1"/>
      <c r="N963" s="1"/>
      <c r="O963" s="1"/>
    </row>
    <row r="964" spans="2:15" x14ac:dyDescent="0.3">
      <c r="B964" s="1"/>
      <c r="C964" s="1"/>
      <c r="D964" s="1"/>
      <c r="E964" s="1"/>
      <c r="F964" s="1"/>
      <c r="G964" s="1"/>
      <c r="H964" s="1"/>
      <c r="I964" s="1"/>
      <c r="J964" s="1"/>
      <c r="K964" s="1"/>
      <c r="L964" s="1"/>
      <c r="M964" s="1"/>
      <c r="N964" s="1"/>
      <c r="O964" s="1"/>
    </row>
    <row r="965" spans="2:15" x14ac:dyDescent="0.3">
      <c r="B965" s="1"/>
      <c r="C965" s="1"/>
      <c r="D965" s="1"/>
      <c r="E965" s="1"/>
      <c r="F965" s="1"/>
      <c r="G965" s="1"/>
      <c r="H965" s="1"/>
      <c r="I965" s="1"/>
      <c r="J965" s="1"/>
      <c r="K965" s="1"/>
      <c r="L965" s="1"/>
      <c r="M965" s="1"/>
      <c r="N965" s="1"/>
      <c r="O965" s="1"/>
    </row>
    <row r="966" spans="2:15" x14ac:dyDescent="0.3">
      <c r="B966" s="1"/>
      <c r="C966" s="1"/>
      <c r="D966" s="1"/>
      <c r="E966" s="1"/>
      <c r="F966" s="1"/>
      <c r="G966" s="1"/>
      <c r="H966" s="1"/>
      <c r="I966" s="1"/>
      <c r="J966" s="1"/>
      <c r="K966" s="1"/>
      <c r="L966" s="1"/>
      <c r="M966" s="1"/>
      <c r="N966" s="1"/>
      <c r="O966" s="1"/>
    </row>
    <row r="967" spans="2:15" x14ac:dyDescent="0.3">
      <c r="B967" s="1"/>
      <c r="C967" s="1"/>
      <c r="D967" s="1"/>
      <c r="E967" s="1"/>
      <c r="F967" s="1"/>
      <c r="G967" s="1"/>
      <c r="H967" s="1"/>
      <c r="I967" s="1"/>
      <c r="J967" s="1"/>
      <c r="K967" s="1"/>
      <c r="L967" s="1"/>
      <c r="M967" s="1"/>
      <c r="N967" s="1"/>
      <c r="O967" s="1"/>
    </row>
    <row r="968" spans="2:15" x14ac:dyDescent="0.3">
      <c r="B968" s="1"/>
      <c r="C968" s="1"/>
      <c r="D968" s="1"/>
      <c r="E968" s="1"/>
      <c r="F968" s="1"/>
      <c r="G968" s="1"/>
      <c r="H968" s="1"/>
      <c r="I968" s="1"/>
      <c r="J968" s="1"/>
      <c r="K968" s="1"/>
      <c r="L968" s="1"/>
      <c r="M968" s="1"/>
      <c r="N968" s="1"/>
      <c r="O968" s="1"/>
    </row>
    <row r="969" spans="2:15" x14ac:dyDescent="0.3">
      <c r="B969" s="1"/>
      <c r="C969" s="1"/>
      <c r="D969" s="1"/>
      <c r="E969" s="1"/>
      <c r="F969" s="1"/>
      <c r="G969" s="1"/>
      <c r="H969" s="1"/>
      <c r="I969" s="1"/>
      <c r="J969" s="1"/>
      <c r="K969" s="1"/>
      <c r="L969" s="1"/>
      <c r="M969" s="1"/>
      <c r="N969" s="1"/>
      <c r="O969" s="1"/>
    </row>
    <row r="970" spans="2:15" x14ac:dyDescent="0.3">
      <c r="B970" s="1"/>
      <c r="C970" s="1"/>
      <c r="D970" s="1"/>
      <c r="E970" s="1"/>
      <c r="F970" s="1"/>
      <c r="G970" s="1"/>
      <c r="H970" s="1"/>
      <c r="I970" s="1"/>
      <c r="J970" s="1"/>
      <c r="K970" s="1"/>
      <c r="L970" s="1"/>
      <c r="M970" s="1"/>
      <c r="N970" s="1"/>
      <c r="O970" s="1"/>
    </row>
    <row r="971" spans="2:15" x14ac:dyDescent="0.3">
      <c r="B971" s="1"/>
      <c r="C971" s="1"/>
      <c r="D971" s="1"/>
      <c r="E971" s="1"/>
      <c r="F971" s="1"/>
      <c r="G971" s="1"/>
      <c r="H971" s="1"/>
      <c r="I971" s="1"/>
      <c r="J971" s="1"/>
      <c r="K971" s="1"/>
      <c r="L971" s="1"/>
      <c r="M971" s="1"/>
      <c r="N971" s="1"/>
      <c r="O971" s="1"/>
    </row>
    <row r="972" spans="2:15" x14ac:dyDescent="0.3">
      <c r="B972" s="1"/>
      <c r="C972" s="1"/>
      <c r="D972" s="1"/>
      <c r="E972" s="1"/>
      <c r="F972" s="1"/>
      <c r="G972" s="1"/>
      <c r="H972" s="1"/>
      <c r="I972" s="1"/>
      <c r="J972" s="1"/>
      <c r="K972" s="1"/>
      <c r="L972" s="1"/>
      <c r="M972" s="1"/>
      <c r="N972" s="1"/>
      <c r="O972" s="1"/>
    </row>
    <row r="973" spans="2:15" x14ac:dyDescent="0.3">
      <c r="B973" s="1"/>
      <c r="C973" s="1"/>
      <c r="D973" s="1"/>
      <c r="E973" s="1"/>
      <c r="F973" s="1"/>
      <c r="G973" s="1"/>
      <c r="H973" s="1"/>
      <c r="I973" s="1"/>
      <c r="J973" s="1"/>
      <c r="K973" s="1"/>
      <c r="L973" s="1"/>
      <c r="M973" s="1"/>
      <c r="N973" s="1"/>
      <c r="O973" s="1"/>
    </row>
    <row r="974" spans="2:15" x14ac:dyDescent="0.3">
      <c r="B974" s="1"/>
      <c r="C974" s="1"/>
      <c r="D974" s="1"/>
      <c r="E974" s="1"/>
      <c r="F974" s="1"/>
      <c r="G974" s="1"/>
      <c r="H974" s="1"/>
      <c r="I974" s="1"/>
      <c r="J974" s="1"/>
      <c r="K974" s="1"/>
      <c r="L974" s="1"/>
      <c r="M974" s="1"/>
      <c r="N974" s="1"/>
      <c r="O974" s="1"/>
    </row>
    <row r="975" spans="2:15" x14ac:dyDescent="0.3">
      <c r="B975" s="1"/>
      <c r="C975" s="1"/>
      <c r="D975" s="1"/>
      <c r="E975" s="1"/>
      <c r="F975" s="1"/>
      <c r="G975" s="1"/>
      <c r="H975" s="1"/>
      <c r="I975" s="1"/>
      <c r="J975" s="1"/>
      <c r="K975" s="1"/>
      <c r="L975" s="1"/>
      <c r="M975" s="1"/>
      <c r="N975" s="1"/>
      <c r="O975" s="1"/>
    </row>
    <row r="976" spans="2:15" x14ac:dyDescent="0.3">
      <c r="B976" s="1"/>
      <c r="C976" s="1"/>
      <c r="D976" s="1"/>
      <c r="E976" s="1"/>
      <c r="F976" s="1"/>
      <c r="G976" s="1"/>
      <c r="H976" s="1"/>
      <c r="I976" s="1"/>
      <c r="J976" s="1"/>
      <c r="K976" s="1"/>
      <c r="L976" s="1"/>
      <c r="M976" s="1"/>
      <c r="N976" s="1"/>
      <c r="O976" s="1"/>
    </row>
    <row r="977" spans="2:15" x14ac:dyDescent="0.3">
      <c r="B977" s="1"/>
      <c r="C977" s="1"/>
      <c r="D977" s="1"/>
      <c r="E977" s="1"/>
      <c r="F977" s="1"/>
      <c r="G977" s="1"/>
      <c r="H977" s="1"/>
      <c r="I977" s="1"/>
      <c r="J977" s="1"/>
      <c r="K977" s="1"/>
      <c r="L977" s="1"/>
      <c r="M977" s="1"/>
      <c r="N977" s="1"/>
      <c r="O977" s="1"/>
    </row>
    <row r="978" spans="2:15" x14ac:dyDescent="0.3">
      <c r="B978" s="1"/>
      <c r="C978" s="1"/>
      <c r="D978" s="1"/>
      <c r="E978" s="1"/>
      <c r="F978" s="1"/>
      <c r="G978" s="1"/>
      <c r="H978" s="1"/>
      <c r="I978" s="1"/>
      <c r="J978" s="1"/>
      <c r="K978" s="1"/>
      <c r="L978" s="1"/>
      <c r="M978" s="1"/>
      <c r="N978" s="1"/>
      <c r="O978" s="1"/>
    </row>
    <row r="979" spans="2:15" x14ac:dyDescent="0.3">
      <c r="B979" s="1"/>
      <c r="C979" s="1"/>
      <c r="D979" s="1"/>
      <c r="E979" s="1"/>
      <c r="F979" s="1"/>
      <c r="G979" s="1"/>
      <c r="H979" s="1"/>
      <c r="I979" s="1"/>
      <c r="J979" s="1"/>
      <c r="K979" s="1"/>
      <c r="L979" s="1"/>
      <c r="M979" s="1"/>
      <c r="N979" s="1"/>
      <c r="O979" s="1"/>
    </row>
    <row r="980" spans="2:15" x14ac:dyDescent="0.3">
      <c r="B980" s="1"/>
      <c r="C980" s="1"/>
      <c r="D980" s="1"/>
      <c r="E980" s="1"/>
      <c r="F980" s="1"/>
      <c r="G980" s="1"/>
      <c r="H980" s="1"/>
      <c r="I980" s="1"/>
      <c r="J980" s="1"/>
      <c r="K980" s="1"/>
      <c r="L980" s="1"/>
      <c r="M980" s="1"/>
      <c r="N980" s="1"/>
      <c r="O980" s="1"/>
    </row>
    <row r="981" spans="2:15" x14ac:dyDescent="0.3">
      <c r="B981" s="1"/>
      <c r="C981" s="1"/>
      <c r="D981" s="1"/>
      <c r="E981" s="1"/>
      <c r="F981" s="1"/>
      <c r="G981" s="1"/>
      <c r="H981" s="1"/>
      <c r="I981" s="1"/>
      <c r="J981" s="1"/>
      <c r="K981" s="1"/>
      <c r="L981" s="1"/>
      <c r="M981" s="1"/>
      <c r="N981" s="1"/>
      <c r="O981" s="1"/>
    </row>
    <row r="982" spans="2:15" x14ac:dyDescent="0.3">
      <c r="B982" s="1"/>
      <c r="C982" s="1"/>
      <c r="D982" s="1"/>
      <c r="E982" s="1"/>
      <c r="F982" s="1"/>
      <c r="G982" s="1"/>
      <c r="H982" s="1"/>
      <c r="I982" s="1"/>
      <c r="J982" s="1"/>
      <c r="K982" s="1"/>
      <c r="L982" s="1"/>
      <c r="M982" s="1"/>
      <c r="N982" s="1"/>
      <c r="O982" s="1"/>
    </row>
    <row r="983" spans="2:15" x14ac:dyDescent="0.3">
      <c r="B983" s="1"/>
      <c r="C983" s="1"/>
      <c r="D983" s="1"/>
      <c r="E983" s="1"/>
      <c r="F983" s="1"/>
      <c r="G983" s="1"/>
      <c r="H983" s="1"/>
      <c r="I983" s="1"/>
      <c r="J983" s="1"/>
      <c r="K983" s="1"/>
      <c r="L983" s="1"/>
      <c r="M983" s="1"/>
      <c r="N983" s="1"/>
      <c r="O983" s="1"/>
    </row>
    <row r="984" spans="2:15" x14ac:dyDescent="0.3">
      <c r="B984" s="1"/>
      <c r="C984" s="1"/>
      <c r="D984" s="1"/>
      <c r="E984" s="1"/>
      <c r="F984" s="1"/>
      <c r="G984" s="1"/>
      <c r="H984" s="1"/>
      <c r="I984" s="1"/>
      <c r="J984" s="1"/>
      <c r="K984" s="1"/>
      <c r="L984" s="1"/>
      <c r="M984" s="1"/>
      <c r="N984" s="1"/>
      <c r="O984" s="1"/>
    </row>
    <row r="985" spans="2:15" x14ac:dyDescent="0.3">
      <c r="B985" s="1"/>
      <c r="C985" s="1"/>
      <c r="D985" s="1"/>
      <c r="E985" s="1"/>
      <c r="F985" s="1"/>
      <c r="G985" s="1"/>
      <c r="H985" s="1"/>
      <c r="I985" s="1"/>
      <c r="J985" s="1"/>
      <c r="K985" s="1"/>
      <c r="L985" s="1"/>
      <c r="M985" s="1"/>
      <c r="N985" s="1"/>
      <c r="O985" s="1"/>
    </row>
    <row r="986" spans="2:15" x14ac:dyDescent="0.3">
      <c r="B986" s="1"/>
      <c r="C986" s="1"/>
      <c r="D986" s="1"/>
      <c r="E986" s="1"/>
      <c r="F986" s="1"/>
      <c r="G986" s="1"/>
      <c r="H986" s="1"/>
      <c r="I986" s="1"/>
      <c r="J986" s="1"/>
      <c r="K986" s="1"/>
      <c r="L986" s="1"/>
      <c r="M986" s="1"/>
      <c r="N986" s="1"/>
      <c r="O986" s="1"/>
    </row>
    <row r="987" spans="2:15" x14ac:dyDescent="0.3">
      <c r="B987" s="1"/>
      <c r="C987" s="1"/>
      <c r="D987" s="1"/>
      <c r="E987" s="1"/>
      <c r="F987" s="1"/>
      <c r="G987" s="1"/>
      <c r="H987" s="1"/>
      <c r="I987" s="1"/>
      <c r="J987" s="1"/>
      <c r="K987" s="1"/>
      <c r="L987" s="1"/>
      <c r="M987" s="1"/>
      <c r="N987" s="1"/>
      <c r="O987" s="1"/>
    </row>
    <row r="988" spans="2:15" x14ac:dyDescent="0.3">
      <c r="B988" s="1"/>
      <c r="C988" s="1"/>
      <c r="D988" s="1"/>
      <c r="E988" s="1"/>
      <c r="F988" s="1"/>
      <c r="G988" s="1"/>
      <c r="H988" s="1"/>
      <c r="I988" s="1"/>
      <c r="J988" s="1"/>
      <c r="K988" s="1"/>
      <c r="L988" s="1"/>
      <c r="M988" s="1"/>
      <c r="N988" s="1"/>
      <c r="O988" s="1"/>
    </row>
    <row r="989" spans="2:15" x14ac:dyDescent="0.3">
      <c r="B989" s="1"/>
      <c r="C989" s="1"/>
      <c r="D989" s="1"/>
      <c r="E989" s="1"/>
      <c r="F989" s="1"/>
      <c r="G989" s="1"/>
      <c r="H989" s="1"/>
      <c r="I989" s="1"/>
      <c r="J989" s="1"/>
      <c r="K989" s="1"/>
      <c r="L989" s="1"/>
      <c r="M989" s="1"/>
      <c r="N989" s="1"/>
      <c r="O989" s="1"/>
    </row>
    <row r="990" spans="2:15" x14ac:dyDescent="0.3">
      <c r="B990" s="1"/>
      <c r="C990" s="1"/>
      <c r="D990" s="1"/>
      <c r="E990" s="1"/>
      <c r="F990" s="1"/>
      <c r="G990" s="1"/>
      <c r="H990" s="1"/>
      <c r="I990" s="1"/>
      <c r="J990" s="1"/>
      <c r="K990" s="1"/>
      <c r="L990" s="1"/>
      <c r="M990" s="1"/>
      <c r="N990" s="1"/>
      <c r="O990" s="1"/>
    </row>
    <row r="991" spans="2:15" x14ac:dyDescent="0.3">
      <c r="B991" s="1"/>
      <c r="C991" s="1"/>
      <c r="D991" s="1"/>
      <c r="E991" s="1"/>
      <c r="F991" s="1"/>
      <c r="G991" s="1"/>
      <c r="H991" s="1"/>
      <c r="I991" s="1"/>
      <c r="J991" s="1"/>
      <c r="K991" s="1"/>
      <c r="L991" s="1"/>
      <c r="M991" s="1"/>
      <c r="N991" s="1"/>
      <c r="O991" s="1"/>
    </row>
    <row r="992" spans="2:15" x14ac:dyDescent="0.3">
      <c r="B992" s="1"/>
      <c r="C992" s="1"/>
      <c r="D992" s="1"/>
      <c r="E992" s="1"/>
      <c r="F992" s="1"/>
      <c r="G992" s="1"/>
      <c r="H992" s="1"/>
      <c r="I992" s="1"/>
      <c r="J992" s="1"/>
      <c r="K992" s="1"/>
      <c r="L992" s="1"/>
      <c r="M992" s="1"/>
      <c r="N992" s="1"/>
      <c r="O992" s="1"/>
    </row>
    <row r="993" spans="2:15" x14ac:dyDescent="0.3">
      <c r="B993" s="1"/>
      <c r="C993" s="1"/>
      <c r="D993" s="1"/>
      <c r="E993" s="1"/>
      <c r="F993" s="1"/>
      <c r="G993" s="1"/>
      <c r="H993" s="1"/>
      <c r="I993" s="1"/>
      <c r="J993" s="1"/>
      <c r="K993" s="1"/>
      <c r="L993" s="1"/>
      <c r="M993" s="1"/>
      <c r="N993" s="1"/>
      <c r="O993" s="1"/>
    </row>
    <row r="994" spans="2:15" x14ac:dyDescent="0.3">
      <c r="B994" s="1"/>
      <c r="C994" s="1"/>
      <c r="D994" s="1"/>
      <c r="E994" s="1"/>
      <c r="F994" s="1"/>
      <c r="G994" s="1"/>
      <c r="H994" s="1"/>
      <c r="I994" s="1"/>
      <c r="J994" s="1"/>
      <c r="K994" s="1"/>
      <c r="L994" s="1"/>
      <c r="M994" s="1"/>
      <c r="N994" s="1"/>
      <c r="O994" s="1"/>
    </row>
    <row r="995" spans="2:15" x14ac:dyDescent="0.3">
      <c r="B995" s="1"/>
      <c r="C995" s="1"/>
      <c r="D995" s="1"/>
      <c r="E995" s="1"/>
      <c r="F995" s="1"/>
      <c r="G995" s="1"/>
      <c r="H995" s="1"/>
      <c r="I995" s="1"/>
      <c r="J995" s="1"/>
      <c r="K995" s="1"/>
      <c r="L995" s="1"/>
      <c r="M995" s="1"/>
      <c r="N995" s="1"/>
      <c r="O995" s="1"/>
    </row>
    <row r="996" spans="2:15" x14ac:dyDescent="0.3">
      <c r="B996" s="1"/>
      <c r="C996" s="1"/>
      <c r="D996" s="1"/>
      <c r="E996" s="1"/>
      <c r="F996" s="1"/>
      <c r="G996" s="1"/>
      <c r="H996" s="1"/>
      <c r="I996" s="1"/>
      <c r="J996" s="1"/>
      <c r="K996" s="1"/>
      <c r="L996" s="1"/>
      <c r="M996" s="1"/>
      <c r="N996" s="1"/>
      <c r="O996" s="1"/>
    </row>
    <row r="997" spans="2:15" x14ac:dyDescent="0.3">
      <c r="B997" s="1"/>
      <c r="C997" s="1"/>
      <c r="D997" s="1"/>
      <c r="E997" s="1"/>
      <c r="F997" s="1"/>
      <c r="G997" s="1"/>
      <c r="H997" s="1"/>
      <c r="I997" s="1"/>
      <c r="J997" s="1"/>
      <c r="K997" s="1"/>
      <c r="L997" s="1"/>
      <c r="M997" s="1"/>
      <c r="N997" s="1"/>
      <c r="O997" s="1"/>
    </row>
    <row r="998" spans="2:15" x14ac:dyDescent="0.3">
      <c r="B998" s="1"/>
      <c r="C998" s="1"/>
      <c r="D998" s="1"/>
      <c r="E998" s="1"/>
      <c r="F998" s="1"/>
      <c r="G998" s="1"/>
      <c r="H998" s="1"/>
      <c r="I998" s="1"/>
      <c r="J998" s="1"/>
      <c r="K998" s="1"/>
      <c r="L998" s="1"/>
      <c r="M998" s="1"/>
      <c r="N998" s="1"/>
      <c r="O998" s="1"/>
    </row>
    <row r="999" spans="2:15" x14ac:dyDescent="0.3">
      <c r="B999" s="1"/>
      <c r="C999" s="1"/>
      <c r="D999" s="1"/>
      <c r="E999" s="1"/>
      <c r="F999" s="1"/>
      <c r="G999" s="1"/>
      <c r="H999" s="1"/>
      <c r="I999" s="1"/>
      <c r="J999" s="1"/>
      <c r="K999" s="1"/>
      <c r="L999" s="1"/>
      <c r="M999" s="1"/>
      <c r="N999" s="1"/>
      <c r="O999" s="1"/>
    </row>
    <row r="1000" spans="2:15" x14ac:dyDescent="0.3">
      <c r="B1000" s="1"/>
      <c r="C1000" s="1"/>
      <c r="D1000" s="1"/>
      <c r="E1000" s="1"/>
      <c r="F1000" s="1"/>
      <c r="G1000" s="1"/>
      <c r="H1000" s="1"/>
      <c r="I1000" s="1"/>
      <c r="J1000" s="1"/>
      <c r="K1000" s="1"/>
      <c r="L1000" s="1"/>
      <c r="M1000" s="1"/>
      <c r="N1000" s="1"/>
      <c r="O1000" s="1"/>
    </row>
    <row r="1001" spans="2:15" x14ac:dyDescent="0.3">
      <c r="B1001" s="1"/>
      <c r="C1001" s="1"/>
      <c r="D1001" s="1"/>
      <c r="E1001" s="1"/>
      <c r="F1001" s="1"/>
      <c r="G1001" s="1"/>
      <c r="H1001" s="1"/>
      <c r="I1001" s="1"/>
      <c r="J1001" s="1"/>
      <c r="K1001" s="1"/>
      <c r="L1001" s="1"/>
      <c r="M1001" s="1"/>
      <c r="N1001" s="1"/>
      <c r="O1001" s="1"/>
    </row>
    <row r="1002" spans="2:15" x14ac:dyDescent="0.3">
      <c r="B1002" s="1"/>
      <c r="C1002" s="1"/>
      <c r="D1002" s="1"/>
      <c r="E1002" s="1"/>
      <c r="F1002" s="1"/>
      <c r="G1002" s="1"/>
      <c r="H1002" s="1"/>
      <c r="I1002" s="1"/>
      <c r="J1002" s="1"/>
      <c r="K1002" s="1"/>
      <c r="L1002" s="1"/>
      <c r="M1002" s="1"/>
      <c r="N1002" s="1"/>
      <c r="O1002" s="1"/>
    </row>
    <row r="1003" spans="2:15" x14ac:dyDescent="0.3">
      <c r="B1003" s="1"/>
      <c r="C1003" s="1"/>
      <c r="D1003" s="1"/>
      <c r="E1003" s="1"/>
      <c r="F1003" s="1"/>
      <c r="G1003" s="1"/>
      <c r="H1003" s="1"/>
      <c r="I1003" s="1"/>
      <c r="J1003" s="1"/>
      <c r="K1003" s="1"/>
      <c r="L1003" s="1"/>
      <c r="M1003" s="1"/>
      <c r="N1003" s="1"/>
      <c r="O1003" s="1"/>
    </row>
    <row r="1004" spans="2:15" x14ac:dyDescent="0.3">
      <c r="B1004" s="1"/>
      <c r="C1004" s="1"/>
      <c r="D1004" s="1"/>
      <c r="E1004" s="1"/>
      <c r="F1004" s="1"/>
      <c r="G1004" s="1"/>
      <c r="H1004" s="1"/>
      <c r="I1004" s="1"/>
      <c r="J1004" s="1"/>
      <c r="K1004" s="1"/>
      <c r="L1004" s="1"/>
      <c r="M1004" s="1"/>
      <c r="N1004" s="1"/>
      <c r="O1004" s="1"/>
    </row>
    <row r="1005" spans="2:15" x14ac:dyDescent="0.3">
      <c r="B1005" s="1"/>
      <c r="C1005" s="1"/>
      <c r="D1005" s="1"/>
      <c r="E1005" s="1"/>
      <c r="F1005" s="1"/>
      <c r="G1005" s="1"/>
      <c r="H1005" s="1"/>
      <c r="I1005" s="1"/>
      <c r="J1005" s="1"/>
      <c r="K1005" s="1"/>
      <c r="L1005" s="1"/>
      <c r="M1005" s="1"/>
      <c r="N1005" s="1"/>
      <c r="O1005" s="1"/>
    </row>
    <row r="1006" spans="2:15" x14ac:dyDescent="0.3">
      <c r="B1006" s="1"/>
      <c r="C1006" s="1"/>
      <c r="D1006" s="1"/>
      <c r="E1006" s="1"/>
      <c r="F1006" s="1"/>
      <c r="G1006" s="1"/>
      <c r="H1006" s="1"/>
      <c r="I1006" s="1"/>
      <c r="J1006" s="1"/>
      <c r="K1006" s="1"/>
      <c r="L1006" s="1"/>
      <c r="M1006" s="1"/>
      <c r="N1006" s="1"/>
      <c r="O1006" s="1"/>
    </row>
    <row r="1007" spans="2:15" x14ac:dyDescent="0.3">
      <c r="B1007" s="1"/>
      <c r="C1007" s="1"/>
      <c r="D1007" s="1"/>
      <c r="E1007" s="1"/>
      <c r="F1007" s="1"/>
      <c r="G1007" s="1"/>
      <c r="H1007" s="1"/>
      <c r="I1007" s="1"/>
      <c r="J1007" s="1"/>
      <c r="K1007" s="1"/>
      <c r="L1007" s="1"/>
      <c r="M1007" s="1"/>
      <c r="N1007" s="1"/>
      <c r="O1007" s="1"/>
    </row>
    <row r="1008" spans="2:15" x14ac:dyDescent="0.3">
      <c r="B1008" s="1"/>
      <c r="C1008" s="1"/>
      <c r="D1008" s="1"/>
      <c r="E1008" s="1"/>
      <c r="F1008" s="1"/>
      <c r="G1008" s="1"/>
      <c r="H1008" s="1"/>
      <c r="I1008" s="1"/>
      <c r="J1008" s="1"/>
      <c r="K1008" s="1"/>
      <c r="L1008" s="1"/>
      <c r="M1008" s="1"/>
      <c r="N1008" s="1"/>
      <c r="O1008" s="1"/>
    </row>
    <row r="1009" spans="2:15" x14ac:dyDescent="0.3">
      <c r="B1009" s="1"/>
      <c r="C1009" s="1"/>
      <c r="D1009" s="1"/>
      <c r="E1009" s="1"/>
      <c r="F1009" s="1"/>
      <c r="G1009" s="1"/>
      <c r="H1009" s="1"/>
      <c r="I1009" s="1"/>
      <c r="J1009" s="1"/>
      <c r="K1009" s="1"/>
      <c r="L1009" s="1"/>
      <c r="M1009" s="1"/>
      <c r="N1009" s="1"/>
      <c r="O1009" s="1"/>
    </row>
    <row r="1010" spans="2:15" x14ac:dyDescent="0.3">
      <c r="B1010" s="1"/>
      <c r="C1010" s="1"/>
      <c r="D1010" s="1"/>
      <c r="E1010" s="1"/>
      <c r="F1010" s="1"/>
      <c r="G1010" s="1"/>
      <c r="H1010" s="1"/>
      <c r="I1010" s="1"/>
      <c r="J1010" s="1"/>
      <c r="K1010" s="1"/>
      <c r="L1010" s="1"/>
      <c r="M1010" s="1"/>
      <c r="N1010" s="1"/>
      <c r="O1010" s="1"/>
    </row>
    <row r="1011" spans="2:15" x14ac:dyDescent="0.3">
      <c r="B1011" s="1"/>
      <c r="C1011" s="1"/>
      <c r="D1011" s="1"/>
      <c r="E1011" s="1"/>
      <c r="F1011" s="1"/>
      <c r="G1011" s="1"/>
      <c r="H1011" s="1"/>
      <c r="I1011" s="1"/>
      <c r="J1011" s="1"/>
      <c r="K1011" s="1"/>
      <c r="L1011" s="1"/>
      <c r="M1011" s="1"/>
      <c r="N1011" s="1"/>
      <c r="O1011" s="1"/>
    </row>
    <row r="1012" spans="2:15" x14ac:dyDescent="0.3">
      <c r="B1012" s="1"/>
      <c r="C1012" s="1"/>
      <c r="D1012" s="1"/>
      <c r="E1012" s="1"/>
      <c r="F1012" s="1"/>
      <c r="G1012" s="1"/>
      <c r="H1012" s="1"/>
      <c r="I1012" s="1"/>
      <c r="J1012" s="1"/>
      <c r="K1012" s="1"/>
      <c r="L1012" s="1"/>
      <c r="M1012" s="1"/>
      <c r="N1012" s="1"/>
      <c r="O1012" s="1"/>
    </row>
    <row r="1013" spans="2:15" x14ac:dyDescent="0.3">
      <c r="B1013" s="1"/>
      <c r="C1013" s="1"/>
      <c r="D1013" s="1"/>
      <c r="E1013" s="1"/>
      <c r="F1013" s="1"/>
      <c r="G1013" s="1"/>
      <c r="H1013" s="1"/>
      <c r="I1013" s="1"/>
      <c r="J1013" s="1"/>
      <c r="K1013" s="1"/>
      <c r="L1013" s="1"/>
      <c r="M1013" s="1"/>
      <c r="N1013" s="1"/>
      <c r="O1013" s="1"/>
    </row>
    <row r="1014" spans="2:15" x14ac:dyDescent="0.3">
      <c r="B1014" s="1"/>
      <c r="C1014" s="1"/>
      <c r="D1014" s="1"/>
      <c r="E1014" s="1"/>
      <c r="F1014" s="1"/>
      <c r="G1014" s="1"/>
      <c r="H1014" s="1"/>
      <c r="I1014" s="1"/>
      <c r="J1014" s="1"/>
      <c r="K1014" s="1"/>
      <c r="L1014" s="1"/>
      <c r="M1014" s="1"/>
      <c r="N1014" s="1"/>
      <c r="O1014" s="1"/>
    </row>
    <row r="1015" spans="2:15" x14ac:dyDescent="0.3">
      <c r="B1015" s="1"/>
      <c r="C1015" s="1"/>
      <c r="D1015" s="1"/>
      <c r="E1015" s="1"/>
      <c r="F1015" s="1"/>
      <c r="G1015" s="1"/>
      <c r="H1015" s="1"/>
      <c r="I1015" s="1"/>
      <c r="J1015" s="1"/>
      <c r="K1015" s="1"/>
      <c r="L1015" s="1"/>
      <c r="M1015" s="1"/>
      <c r="N1015" s="1"/>
      <c r="O1015" s="1"/>
    </row>
    <row r="1016" spans="2:15" x14ac:dyDescent="0.3">
      <c r="B1016" s="1"/>
      <c r="C1016" s="1"/>
      <c r="D1016" s="1"/>
      <c r="E1016" s="1"/>
      <c r="F1016" s="1"/>
      <c r="G1016" s="1"/>
      <c r="H1016" s="1"/>
      <c r="I1016" s="1"/>
      <c r="J1016" s="1"/>
      <c r="K1016" s="1"/>
      <c r="L1016" s="1"/>
      <c r="M1016" s="1"/>
      <c r="N1016" s="1"/>
      <c r="O1016" s="1"/>
    </row>
    <row r="1017" spans="2:15" x14ac:dyDescent="0.3">
      <c r="B1017" s="1"/>
      <c r="C1017" s="1"/>
      <c r="D1017" s="1"/>
      <c r="E1017" s="1"/>
      <c r="F1017" s="1"/>
      <c r="G1017" s="1"/>
      <c r="H1017" s="1"/>
      <c r="I1017" s="1"/>
      <c r="J1017" s="1"/>
      <c r="K1017" s="1"/>
      <c r="L1017" s="1"/>
      <c r="M1017" s="1"/>
      <c r="N1017" s="1"/>
      <c r="O1017" s="1"/>
    </row>
    <row r="1018" spans="2:15" x14ac:dyDescent="0.3">
      <c r="B1018" s="1"/>
      <c r="C1018" s="1"/>
      <c r="D1018" s="1"/>
      <c r="E1018" s="1"/>
      <c r="F1018" s="1"/>
      <c r="G1018" s="1"/>
      <c r="H1018" s="1"/>
      <c r="I1018" s="1"/>
      <c r="J1018" s="1"/>
      <c r="K1018" s="1"/>
      <c r="L1018" s="1"/>
      <c r="M1018" s="1"/>
      <c r="N1018" s="1"/>
      <c r="O1018" s="1"/>
    </row>
    <row r="1019" spans="2:15" x14ac:dyDescent="0.3">
      <c r="B1019" s="1"/>
      <c r="C1019" s="1"/>
      <c r="D1019" s="1"/>
      <c r="E1019" s="1"/>
      <c r="F1019" s="1"/>
      <c r="G1019" s="1"/>
      <c r="H1019" s="1"/>
      <c r="I1019" s="1"/>
      <c r="J1019" s="1"/>
      <c r="K1019" s="1"/>
      <c r="L1019" s="1"/>
      <c r="M1019" s="1"/>
      <c r="N1019" s="1"/>
      <c r="O1019" s="1"/>
    </row>
    <row r="1020" spans="2:15" x14ac:dyDescent="0.3">
      <c r="B1020" s="1"/>
      <c r="C1020" s="1"/>
      <c r="D1020" s="1"/>
      <c r="E1020" s="1"/>
      <c r="F1020" s="1"/>
      <c r="G1020" s="1"/>
      <c r="H1020" s="1"/>
      <c r="I1020" s="1"/>
      <c r="J1020" s="1"/>
      <c r="K1020" s="1"/>
      <c r="L1020" s="1"/>
      <c r="M1020" s="1"/>
      <c r="N1020" s="1"/>
      <c r="O1020" s="1"/>
    </row>
    <row r="1021" spans="2:15" x14ac:dyDescent="0.3">
      <c r="B1021" s="1"/>
      <c r="C1021" s="1"/>
      <c r="D1021" s="1"/>
      <c r="E1021" s="1"/>
      <c r="F1021" s="1"/>
      <c r="G1021" s="1"/>
      <c r="H1021" s="1"/>
      <c r="I1021" s="1"/>
      <c r="J1021" s="1"/>
      <c r="K1021" s="1"/>
      <c r="L1021" s="1"/>
      <c r="M1021" s="1"/>
      <c r="N1021" s="1"/>
      <c r="O1021" s="1"/>
    </row>
    <row r="1022" spans="2:15" x14ac:dyDescent="0.3">
      <c r="B1022" s="1"/>
      <c r="C1022" s="1"/>
      <c r="D1022" s="1"/>
      <c r="E1022" s="1"/>
      <c r="F1022" s="1"/>
      <c r="G1022" s="1"/>
      <c r="H1022" s="1"/>
      <c r="I1022" s="1"/>
      <c r="J1022" s="1"/>
      <c r="K1022" s="1"/>
      <c r="L1022" s="1"/>
      <c r="M1022" s="1"/>
      <c r="N1022" s="1"/>
      <c r="O1022" s="1"/>
    </row>
    <row r="1023" spans="2:15" x14ac:dyDescent="0.3">
      <c r="B1023" s="1"/>
      <c r="C1023" s="1"/>
      <c r="D1023" s="1"/>
      <c r="E1023" s="1"/>
      <c r="F1023" s="1"/>
      <c r="G1023" s="1"/>
      <c r="H1023" s="1"/>
      <c r="I1023" s="1"/>
      <c r="J1023" s="1"/>
      <c r="K1023" s="1"/>
      <c r="L1023" s="1"/>
      <c r="M1023" s="1"/>
      <c r="N1023" s="1"/>
      <c r="O1023" s="1"/>
    </row>
    <row r="1024" spans="2:15" x14ac:dyDescent="0.3">
      <c r="B1024" s="1"/>
      <c r="C1024" s="1"/>
      <c r="D1024" s="1"/>
      <c r="E1024" s="1"/>
      <c r="F1024" s="1"/>
      <c r="G1024" s="1"/>
      <c r="H1024" s="1"/>
      <c r="I1024" s="1"/>
      <c r="J1024" s="1"/>
      <c r="K1024" s="1"/>
      <c r="L1024" s="1"/>
      <c r="M1024" s="1"/>
      <c r="N1024" s="1"/>
      <c r="O1024" s="1"/>
    </row>
    <row r="1025" spans="2:15" x14ac:dyDescent="0.3">
      <c r="B1025" s="1"/>
      <c r="C1025" s="1"/>
      <c r="D1025" s="1"/>
      <c r="E1025" s="1"/>
      <c r="F1025" s="1"/>
      <c r="G1025" s="1"/>
      <c r="H1025" s="1"/>
      <c r="I1025" s="1"/>
      <c r="J1025" s="1"/>
      <c r="K1025" s="1"/>
      <c r="L1025" s="1"/>
      <c r="M1025" s="1"/>
      <c r="N1025" s="1"/>
      <c r="O1025" s="1"/>
    </row>
    <row r="1026" spans="2:15" x14ac:dyDescent="0.3">
      <c r="B1026" s="1"/>
      <c r="C1026" s="1"/>
      <c r="D1026" s="1"/>
      <c r="E1026" s="1"/>
      <c r="F1026" s="1"/>
      <c r="G1026" s="1"/>
      <c r="H1026" s="1"/>
      <c r="I1026" s="1"/>
      <c r="J1026" s="1"/>
      <c r="K1026" s="1"/>
      <c r="L1026" s="1"/>
      <c r="M1026" s="1"/>
      <c r="N1026" s="1"/>
      <c r="O1026" s="1"/>
    </row>
    <row r="1027" spans="2:15" x14ac:dyDescent="0.3">
      <c r="B1027" s="1"/>
      <c r="C1027" s="1"/>
      <c r="D1027" s="1"/>
      <c r="E1027" s="1"/>
      <c r="F1027" s="1"/>
      <c r="G1027" s="1"/>
      <c r="H1027" s="1"/>
      <c r="I1027" s="1"/>
      <c r="J1027" s="1"/>
      <c r="K1027" s="1"/>
      <c r="L1027" s="1"/>
      <c r="M1027" s="1"/>
      <c r="N1027" s="1"/>
      <c r="O1027" s="1"/>
    </row>
    <row r="1028" spans="2:15" x14ac:dyDescent="0.3">
      <c r="B1028" s="1"/>
      <c r="C1028" s="1"/>
      <c r="D1028" s="1"/>
      <c r="E1028" s="1"/>
      <c r="F1028" s="1"/>
      <c r="G1028" s="1"/>
      <c r="H1028" s="1"/>
      <c r="I1028" s="1"/>
      <c r="J1028" s="1"/>
      <c r="K1028" s="1"/>
      <c r="L1028" s="1"/>
      <c r="M1028" s="1"/>
      <c r="N1028" s="1"/>
      <c r="O1028" s="1"/>
    </row>
    <row r="1029" spans="2:15" x14ac:dyDescent="0.3">
      <c r="B1029" s="1"/>
      <c r="C1029" s="1"/>
      <c r="D1029" s="1"/>
      <c r="E1029" s="1"/>
      <c r="F1029" s="1"/>
      <c r="G1029" s="1"/>
      <c r="H1029" s="1"/>
      <c r="I1029" s="1"/>
      <c r="J1029" s="1"/>
      <c r="K1029" s="1"/>
      <c r="L1029" s="1"/>
      <c r="M1029" s="1"/>
      <c r="N1029" s="1"/>
      <c r="O1029" s="1"/>
    </row>
    <row r="1030" spans="2:15" x14ac:dyDescent="0.3">
      <c r="B1030" s="1"/>
      <c r="C1030" s="1"/>
      <c r="D1030" s="1"/>
      <c r="E1030" s="1"/>
      <c r="F1030" s="1"/>
      <c r="G1030" s="1"/>
      <c r="H1030" s="1"/>
      <c r="I1030" s="1"/>
      <c r="J1030" s="1"/>
      <c r="K1030" s="1"/>
      <c r="L1030" s="1"/>
      <c r="M1030" s="1"/>
      <c r="N1030" s="1"/>
      <c r="O1030" s="1"/>
    </row>
    <row r="1031" spans="2:15" x14ac:dyDescent="0.3">
      <c r="B1031" s="1"/>
      <c r="C1031" s="1"/>
      <c r="D1031" s="1"/>
      <c r="E1031" s="1"/>
      <c r="F1031" s="1"/>
      <c r="G1031" s="1"/>
      <c r="H1031" s="1"/>
      <c r="I1031" s="1"/>
      <c r="J1031" s="1"/>
      <c r="K1031" s="1"/>
      <c r="L1031" s="1"/>
      <c r="M1031" s="1"/>
      <c r="N1031" s="1"/>
      <c r="O1031" s="1"/>
    </row>
    <row r="1032" spans="2:15" x14ac:dyDescent="0.3">
      <c r="B1032" s="1"/>
      <c r="C1032" s="1"/>
      <c r="D1032" s="1"/>
      <c r="E1032" s="1"/>
      <c r="F1032" s="1"/>
      <c r="G1032" s="1"/>
      <c r="H1032" s="1"/>
      <c r="I1032" s="1"/>
      <c r="J1032" s="1"/>
      <c r="K1032" s="1"/>
      <c r="L1032" s="1"/>
      <c r="M1032" s="1"/>
      <c r="N1032" s="1"/>
      <c r="O1032" s="1"/>
    </row>
    <row r="1033" spans="2:15" x14ac:dyDescent="0.3">
      <c r="B1033" s="1"/>
      <c r="C1033" s="1"/>
      <c r="D1033" s="1"/>
      <c r="E1033" s="1"/>
      <c r="F1033" s="1"/>
      <c r="G1033" s="1"/>
      <c r="H1033" s="1"/>
      <c r="I1033" s="1"/>
      <c r="J1033" s="1"/>
      <c r="K1033" s="1"/>
      <c r="L1033" s="1"/>
      <c r="M1033" s="1"/>
      <c r="N1033" s="1"/>
      <c r="O1033" s="1"/>
    </row>
    <row r="1034" spans="2:15" x14ac:dyDescent="0.3">
      <c r="B1034" s="1"/>
      <c r="C1034" s="1"/>
      <c r="D1034" s="1"/>
      <c r="E1034" s="1"/>
      <c r="F1034" s="1"/>
      <c r="G1034" s="1"/>
      <c r="H1034" s="1"/>
      <c r="I1034" s="1"/>
      <c r="J1034" s="1"/>
      <c r="K1034" s="1"/>
      <c r="L1034" s="1"/>
      <c r="M1034" s="1"/>
      <c r="N1034" s="1"/>
      <c r="O1034" s="1"/>
    </row>
    <row r="1035" spans="2:15" x14ac:dyDescent="0.3">
      <c r="B1035" s="1"/>
      <c r="C1035" s="1"/>
      <c r="D1035" s="1"/>
      <c r="E1035" s="1"/>
      <c r="F1035" s="1"/>
      <c r="G1035" s="1"/>
      <c r="H1035" s="1"/>
      <c r="I1035" s="1"/>
      <c r="J1035" s="1"/>
      <c r="K1035" s="1"/>
      <c r="L1035" s="1"/>
      <c r="M1035" s="1"/>
      <c r="N1035" s="1"/>
      <c r="O1035" s="1"/>
    </row>
    <row r="1036" spans="2:15" x14ac:dyDescent="0.3">
      <c r="B1036" s="1"/>
      <c r="C1036" s="1"/>
      <c r="D1036" s="1"/>
      <c r="E1036" s="1"/>
      <c r="F1036" s="1"/>
      <c r="G1036" s="1"/>
      <c r="H1036" s="1"/>
      <c r="I1036" s="1"/>
      <c r="J1036" s="1"/>
      <c r="K1036" s="1"/>
      <c r="L1036" s="1"/>
      <c r="M1036" s="1"/>
      <c r="N1036" s="1"/>
      <c r="O1036" s="1"/>
    </row>
    <row r="1037" spans="2:15" x14ac:dyDescent="0.3">
      <c r="B1037" s="1"/>
      <c r="C1037" s="1"/>
      <c r="D1037" s="1"/>
      <c r="E1037" s="1"/>
      <c r="F1037" s="1"/>
      <c r="G1037" s="1"/>
      <c r="H1037" s="1"/>
      <c r="I1037" s="1"/>
      <c r="J1037" s="1"/>
      <c r="K1037" s="1"/>
      <c r="L1037" s="1"/>
      <c r="M1037" s="1"/>
      <c r="N1037" s="1"/>
      <c r="O1037" s="1"/>
    </row>
    <row r="1038" spans="2:15" x14ac:dyDescent="0.3">
      <c r="B1038" s="1"/>
      <c r="C1038" s="1"/>
      <c r="D1038" s="1"/>
      <c r="E1038" s="1"/>
      <c r="F1038" s="1"/>
      <c r="G1038" s="1"/>
      <c r="H1038" s="1"/>
      <c r="I1038" s="1"/>
      <c r="J1038" s="1"/>
      <c r="K1038" s="1"/>
      <c r="L1038" s="1"/>
      <c r="M1038" s="1"/>
      <c r="N1038" s="1"/>
      <c r="O1038" s="1"/>
    </row>
    <row r="1039" spans="2:15" x14ac:dyDescent="0.3">
      <c r="B1039" s="1"/>
      <c r="C1039" s="1"/>
      <c r="D1039" s="1"/>
      <c r="E1039" s="1"/>
      <c r="F1039" s="1"/>
      <c r="G1039" s="1"/>
      <c r="H1039" s="1"/>
      <c r="I1039" s="1"/>
      <c r="J1039" s="1"/>
      <c r="K1039" s="1"/>
      <c r="L1039" s="1"/>
      <c r="M1039" s="1"/>
      <c r="N1039" s="1"/>
      <c r="O1039" s="1"/>
    </row>
    <row r="1040" spans="2:15" x14ac:dyDescent="0.3">
      <c r="B1040" s="1"/>
      <c r="C1040" s="1"/>
      <c r="D1040" s="1"/>
      <c r="E1040" s="1"/>
      <c r="F1040" s="1"/>
      <c r="G1040" s="1"/>
      <c r="H1040" s="1"/>
      <c r="I1040" s="1"/>
      <c r="J1040" s="1"/>
      <c r="K1040" s="1"/>
      <c r="L1040" s="1"/>
      <c r="M1040" s="1"/>
      <c r="N1040" s="1"/>
      <c r="O1040" s="1"/>
    </row>
    <row r="1041" spans="2:15" x14ac:dyDescent="0.3">
      <c r="B1041" s="1"/>
      <c r="C1041" s="1"/>
      <c r="D1041" s="1"/>
      <c r="E1041" s="1"/>
      <c r="F1041" s="1"/>
      <c r="G1041" s="1"/>
      <c r="H1041" s="1"/>
      <c r="I1041" s="1"/>
      <c r="J1041" s="1"/>
      <c r="K1041" s="1"/>
      <c r="L1041" s="1"/>
      <c r="M1041" s="1"/>
      <c r="N1041" s="1"/>
      <c r="O1041" s="1"/>
    </row>
    <row r="1042" spans="2:15" x14ac:dyDescent="0.3">
      <c r="B1042" s="1"/>
      <c r="C1042" s="1"/>
      <c r="D1042" s="1"/>
      <c r="E1042" s="1"/>
      <c r="F1042" s="1"/>
      <c r="G1042" s="1"/>
      <c r="H1042" s="1"/>
      <c r="I1042" s="1"/>
      <c r="J1042" s="1"/>
      <c r="K1042" s="1"/>
      <c r="L1042" s="1"/>
      <c r="M1042" s="1"/>
      <c r="N1042" s="1"/>
      <c r="O1042" s="1"/>
    </row>
    <row r="1043" spans="2:15" x14ac:dyDescent="0.3">
      <c r="B1043" s="1"/>
      <c r="C1043" s="1"/>
      <c r="D1043" s="1"/>
      <c r="E1043" s="1"/>
      <c r="F1043" s="1"/>
      <c r="G1043" s="1"/>
      <c r="H1043" s="1"/>
      <c r="I1043" s="1"/>
      <c r="J1043" s="1"/>
      <c r="K1043" s="1"/>
      <c r="L1043" s="1"/>
      <c r="M1043" s="1"/>
      <c r="N1043" s="1"/>
      <c r="O1043" s="1"/>
    </row>
    <row r="1044" spans="2:15" x14ac:dyDescent="0.3">
      <c r="B1044" s="1"/>
      <c r="C1044" s="1"/>
      <c r="D1044" s="1"/>
      <c r="E1044" s="1"/>
      <c r="F1044" s="1"/>
      <c r="G1044" s="1"/>
      <c r="H1044" s="1"/>
      <c r="I1044" s="1"/>
      <c r="J1044" s="1"/>
      <c r="K1044" s="1"/>
      <c r="L1044" s="1"/>
      <c r="M1044" s="1"/>
      <c r="N1044" s="1"/>
      <c r="O1044" s="1"/>
    </row>
    <row r="1045" spans="2:15" x14ac:dyDescent="0.3">
      <c r="B1045" s="1"/>
      <c r="C1045" s="1"/>
      <c r="D1045" s="1"/>
      <c r="E1045" s="1"/>
      <c r="F1045" s="1"/>
      <c r="G1045" s="1"/>
      <c r="H1045" s="1"/>
      <c r="I1045" s="1"/>
      <c r="J1045" s="1"/>
      <c r="K1045" s="1"/>
      <c r="L1045" s="1"/>
      <c r="M1045" s="1"/>
      <c r="N1045" s="1"/>
      <c r="O1045" s="1"/>
    </row>
    <row r="1046" spans="2:15" x14ac:dyDescent="0.3">
      <c r="B1046" s="1"/>
      <c r="C1046" s="1"/>
      <c r="D1046" s="1"/>
      <c r="E1046" s="1"/>
      <c r="F1046" s="1"/>
      <c r="G1046" s="1"/>
      <c r="H1046" s="1"/>
      <c r="I1046" s="1"/>
      <c r="J1046" s="1"/>
      <c r="K1046" s="1"/>
      <c r="L1046" s="1"/>
      <c r="M1046" s="1"/>
      <c r="N1046" s="1"/>
      <c r="O1046" s="1"/>
    </row>
    <row r="1047" spans="2:15" x14ac:dyDescent="0.3">
      <c r="B1047" s="1"/>
      <c r="C1047" s="1"/>
      <c r="D1047" s="1"/>
      <c r="E1047" s="1"/>
      <c r="F1047" s="1"/>
      <c r="G1047" s="1"/>
      <c r="H1047" s="1"/>
      <c r="I1047" s="1"/>
      <c r="J1047" s="1"/>
      <c r="K1047" s="1"/>
      <c r="L1047" s="1"/>
      <c r="M1047" s="1"/>
      <c r="N1047" s="1"/>
      <c r="O1047" s="1"/>
    </row>
    <row r="1048" spans="2:15" x14ac:dyDescent="0.3">
      <c r="B1048" s="1"/>
      <c r="C1048" s="1"/>
      <c r="D1048" s="1"/>
      <c r="E1048" s="1"/>
      <c r="F1048" s="1"/>
      <c r="G1048" s="1"/>
      <c r="H1048" s="1"/>
      <c r="I1048" s="1"/>
      <c r="J1048" s="1"/>
      <c r="K1048" s="1"/>
      <c r="L1048" s="1"/>
      <c r="M1048" s="1"/>
      <c r="N1048" s="1"/>
      <c r="O1048" s="1"/>
    </row>
    <row r="1049" spans="2:15" x14ac:dyDescent="0.3">
      <c r="B1049" s="1"/>
      <c r="C1049" s="1"/>
      <c r="D1049" s="1"/>
      <c r="E1049" s="1"/>
      <c r="F1049" s="1"/>
      <c r="G1049" s="1"/>
      <c r="H1049" s="1"/>
      <c r="I1049" s="1"/>
      <c r="J1049" s="1"/>
      <c r="K1049" s="1"/>
      <c r="L1049" s="1"/>
      <c r="M1049" s="1"/>
      <c r="N1049" s="1"/>
      <c r="O1049" s="1"/>
    </row>
    <row r="1050" spans="2:15" x14ac:dyDescent="0.3">
      <c r="B1050" s="1"/>
      <c r="C1050" s="1"/>
      <c r="D1050" s="1"/>
      <c r="E1050" s="1"/>
      <c r="F1050" s="1"/>
      <c r="G1050" s="1"/>
      <c r="H1050" s="1"/>
      <c r="I1050" s="1"/>
      <c r="J1050" s="1"/>
      <c r="K1050" s="1"/>
      <c r="L1050" s="1"/>
      <c r="M1050" s="1"/>
      <c r="N1050" s="1"/>
      <c r="O1050" s="1"/>
    </row>
    <row r="1051" spans="2:15" x14ac:dyDescent="0.3">
      <c r="B1051" s="1"/>
      <c r="C1051" s="1"/>
      <c r="D1051" s="1"/>
      <c r="E1051" s="1"/>
      <c r="F1051" s="1"/>
      <c r="G1051" s="1"/>
      <c r="H1051" s="1"/>
      <c r="I1051" s="1"/>
      <c r="J1051" s="1"/>
      <c r="K1051" s="1"/>
      <c r="L1051" s="1"/>
      <c r="M1051" s="1"/>
      <c r="N1051" s="1"/>
      <c r="O1051" s="1"/>
    </row>
    <row r="1052" spans="2:15" x14ac:dyDescent="0.3">
      <c r="B1052" s="1"/>
      <c r="C1052" s="1"/>
      <c r="D1052" s="1"/>
      <c r="E1052" s="1"/>
      <c r="F1052" s="1"/>
      <c r="G1052" s="1"/>
      <c r="H1052" s="1"/>
      <c r="I1052" s="1"/>
      <c r="J1052" s="1"/>
      <c r="K1052" s="1"/>
      <c r="L1052" s="1"/>
      <c r="M1052" s="1"/>
      <c r="N1052" s="1"/>
      <c r="O1052" s="1"/>
    </row>
    <row r="1053" spans="2:15" x14ac:dyDescent="0.3">
      <c r="B1053" s="1"/>
      <c r="C1053" s="1"/>
      <c r="D1053" s="1"/>
      <c r="E1053" s="1"/>
      <c r="F1053" s="1"/>
      <c r="G1053" s="1"/>
      <c r="H1053" s="1"/>
      <c r="I1053" s="1"/>
      <c r="J1053" s="1"/>
      <c r="K1053" s="1"/>
      <c r="L1053" s="1"/>
      <c r="M1053" s="1"/>
      <c r="N1053" s="1"/>
      <c r="O1053" s="1"/>
    </row>
    <row r="1054" spans="2:15" x14ac:dyDescent="0.3">
      <c r="B1054" s="1"/>
      <c r="C1054" s="1"/>
      <c r="D1054" s="1"/>
      <c r="E1054" s="1"/>
      <c r="F1054" s="1"/>
      <c r="G1054" s="1"/>
      <c r="H1054" s="1"/>
      <c r="I1054" s="1"/>
      <c r="J1054" s="1"/>
      <c r="K1054" s="1"/>
      <c r="L1054" s="1"/>
      <c r="M1054" s="1"/>
      <c r="N1054" s="1"/>
      <c r="O1054" s="1"/>
    </row>
    <row r="1055" spans="2:15" x14ac:dyDescent="0.3">
      <c r="B1055" s="1"/>
      <c r="C1055" s="1"/>
      <c r="D1055" s="1"/>
      <c r="E1055" s="1"/>
      <c r="F1055" s="1"/>
      <c r="G1055" s="1"/>
      <c r="H1055" s="1"/>
      <c r="I1055" s="1"/>
      <c r="J1055" s="1"/>
      <c r="K1055" s="1"/>
      <c r="L1055" s="1"/>
      <c r="M1055" s="1"/>
      <c r="N1055" s="1"/>
      <c r="O1055" s="1"/>
    </row>
    <row r="1056" spans="2:15" x14ac:dyDescent="0.3">
      <c r="B1056" s="1"/>
      <c r="C1056" s="1"/>
      <c r="D1056" s="1"/>
      <c r="E1056" s="1"/>
      <c r="F1056" s="1"/>
      <c r="G1056" s="1"/>
      <c r="H1056" s="1"/>
      <c r="I1056" s="1"/>
      <c r="J1056" s="1"/>
      <c r="K1056" s="1"/>
      <c r="L1056" s="1"/>
      <c r="M1056" s="1"/>
      <c r="N1056" s="1"/>
      <c r="O1056" s="1"/>
    </row>
    <row r="1057" spans="2:15" x14ac:dyDescent="0.3">
      <c r="B1057" s="1"/>
      <c r="C1057" s="1"/>
      <c r="D1057" s="1"/>
      <c r="E1057" s="1"/>
      <c r="F1057" s="1"/>
      <c r="G1057" s="1"/>
      <c r="H1057" s="1"/>
      <c r="I1057" s="1"/>
      <c r="J1057" s="1"/>
      <c r="K1057" s="1"/>
      <c r="L1057" s="1"/>
      <c r="M1057" s="1"/>
      <c r="N1057" s="1"/>
      <c r="O1057" s="1"/>
    </row>
    <row r="1058" spans="2:15" x14ac:dyDescent="0.3">
      <c r="B1058" s="1"/>
      <c r="C1058" s="1"/>
      <c r="D1058" s="1"/>
      <c r="E1058" s="1"/>
      <c r="F1058" s="1"/>
      <c r="G1058" s="1"/>
      <c r="H1058" s="1"/>
      <c r="I1058" s="1"/>
      <c r="J1058" s="1"/>
      <c r="K1058" s="1"/>
      <c r="L1058" s="1"/>
      <c r="M1058" s="1"/>
      <c r="N1058" s="1"/>
      <c r="O1058" s="1"/>
    </row>
    <row r="1059" spans="2:15" x14ac:dyDescent="0.3">
      <c r="B1059" s="1"/>
      <c r="C1059" s="1"/>
      <c r="D1059" s="1"/>
      <c r="E1059" s="1"/>
      <c r="F1059" s="1"/>
      <c r="G1059" s="1"/>
      <c r="H1059" s="1"/>
      <c r="I1059" s="1"/>
      <c r="J1059" s="1"/>
      <c r="K1059" s="1"/>
      <c r="L1059" s="1"/>
      <c r="M1059" s="1"/>
      <c r="N1059" s="1"/>
      <c r="O1059" s="1"/>
    </row>
    <row r="1060" spans="2:15" x14ac:dyDescent="0.3">
      <c r="B1060" s="1"/>
      <c r="C1060" s="1"/>
      <c r="D1060" s="1"/>
      <c r="E1060" s="1"/>
      <c r="F1060" s="1"/>
      <c r="G1060" s="1"/>
      <c r="H1060" s="1"/>
      <c r="I1060" s="1"/>
      <c r="J1060" s="1"/>
      <c r="K1060" s="1"/>
      <c r="L1060" s="1"/>
      <c r="M1060" s="1"/>
      <c r="N1060" s="1"/>
      <c r="O1060" s="1"/>
    </row>
    <row r="1061" spans="2:15" x14ac:dyDescent="0.3">
      <c r="B1061" s="1"/>
      <c r="C1061" s="1"/>
      <c r="D1061" s="1"/>
      <c r="E1061" s="1"/>
      <c r="F1061" s="1"/>
      <c r="G1061" s="1"/>
      <c r="H1061" s="1"/>
      <c r="I1061" s="1"/>
      <c r="J1061" s="1"/>
      <c r="K1061" s="1"/>
      <c r="L1061" s="1"/>
      <c r="M1061" s="1"/>
      <c r="N1061" s="1"/>
      <c r="O1061" s="1"/>
    </row>
    <row r="1062" spans="2:15" x14ac:dyDescent="0.3">
      <c r="B1062" s="1"/>
      <c r="C1062" s="1"/>
      <c r="D1062" s="1"/>
      <c r="E1062" s="1"/>
      <c r="F1062" s="1"/>
      <c r="G1062" s="1"/>
      <c r="H1062" s="1"/>
      <c r="I1062" s="1"/>
      <c r="J1062" s="1"/>
      <c r="K1062" s="1"/>
      <c r="L1062" s="1"/>
      <c r="M1062" s="1"/>
      <c r="N1062" s="1"/>
      <c r="O1062" s="1"/>
    </row>
    <row r="1063" spans="2:15" x14ac:dyDescent="0.3">
      <c r="B1063" s="1"/>
      <c r="C1063" s="1"/>
      <c r="D1063" s="1"/>
      <c r="E1063" s="1"/>
      <c r="F1063" s="1"/>
      <c r="G1063" s="1"/>
      <c r="H1063" s="1"/>
      <c r="I1063" s="1"/>
      <c r="J1063" s="1"/>
      <c r="K1063" s="1"/>
      <c r="L1063" s="1"/>
      <c r="M1063" s="1"/>
      <c r="N1063" s="1"/>
      <c r="O1063" s="1"/>
    </row>
    <row r="1064" spans="2:15" x14ac:dyDescent="0.3">
      <c r="B1064" s="1"/>
      <c r="C1064" s="1"/>
      <c r="D1064" s="1"/>
      <c r="E1064" s="1"/>
      <c r="F1064" s="1"/>
      <c r="G1064" s="1"/>
      <c r="H1064" s="1"/>
      <c r="I1064" s="1"/>
      <c r="J1064" s="1"/>
      <c r="K1064" s="1"/>
      <c r="L1064" s="1"/>
      <c r="M1064" s="1"/>
      <c r="N1064" s="1"/>
      <c r="O1064" s="1"/>
    </row>
    <row r="1065" spans="2:15" x14ac:dyDescent="0.3">
      <c r="B1065" s="1"/>
      <c r="C1065" s="1"/>
      <c r="D1065" s="1"/>
      <c r="E1065" s="1"/>
      <c r="F1065" s="1"/>
      <c r="G1065" s="1"/>
      <c r="H1065" s="1"/>
      <c r="I1065" s="1"/>
      <c r="J1065" s="1"/>
      <c r="K1065" s="1"/>
      <c r="L1065" s="1"/>
      <c r="M1065" s="1"/>
      <c r="N1065" s="1"/>
      <c r="O1065" s="1"/>
    </row>
    <row r="1066" spans="2:15" x14ac:dyDescent="0.3">
      <c r="B1066" s="1"/>
      <c r="C1066" s="1"/>
      <c r="D1066" s="1"/>
      <c r="E1066" s="1"/>
      <c r="F1066" s="1"/>
      <c r="G1066" s="1"/>
      <c r="H1066" s="1"/>
      <c r="I1066" s="1"/>
      <c r="J1066" s="1"/>
      <c r="K1066" s="1"/>
      <c r="L1066" s="1"/>
      <c r="M1066" s="1"/>
      <c r="N1066" s="1"/>
      <c r="O1066" s="1"/>
    </row>
    <row r="1067" spans="2:15" x14ac:dyDescent="0.3">
      <c r="B1067" s="1"/>
      <c r="C1067" s="1"/>
      <c r="D1067" s="1"/>
      <c r="E1067" s="1"/>
      <c r="F1067" s="1"/>
      <c r="G1067" s="1"/>
      <c r="H1067" s="1"/>
      <c r="I1067" s="1"/>
      <c r="J1067" s="1"/>
      <c r="K1067" s="1"/>
      <c r="L1067" s="1"/>
      <c r="M1067" s="1"/>
      <c r="N1067" s="1"/>
      <c r="O1067" s="1"/>
    </row>
    <row r="1068" spans="2:15" x14ac:dyDescent="0.3">
      <c r="B1068" s="1"/>
      <c r="C1068" s="1"/>
      <c r="D1068" s="1"/>
      <c r="E1068" s="1"/>
      <c r="F1068" s="1"/>
      <c r="G1068" s="1"/>
      <c r="H1068" s="1"/>
      <c r="I1068" s="1"/>
      <c r="J1068" s="1"/>
      <c r="K1068" s="1"/>
      <c r="L1068" s="1"/>
      <c r="M1068" s="1"/>
      <c r="N1068" s="1"/>
      <c r="O1068" s="1"/>
    </row>
    <row r="1069" spans="2:15" x14ac:dyDescent="0.3">
      <c r="B1069" s="1"/>
      <c r="C1069" s="1"/>
      <c r="D1069" s="1"/>
      <c r="E1069" s="1"/>
      <c r="F1069" s="1"/>
      <c r="G1069" s="1"/>
      <c r="H1069" s="1"/>
      <c r="I1069" s="1"/>
      <c r="J1069" s="1"/>
      <c r="K1069" s="1"/>
      <c r="L1069" s="1"/>
      <c r="M1069" s="1"/>
      <c r="N1069" s="1"/>
      <c r="O1069" s="1"/>
    </row>
    <row r="1070" spans="2:15" x14ac:dyDescent="0.3">
      <c r="B1070" s="1"/>
      <c r="C1070" s="1"/>
      <c r="D1070" s="1"/>
      <c r="E1070" s="1"/>
      <c r="F1070" s="1"/>
      <c r="G1070" s="1"/>
      <c r="H1070" s="1"/>
      <c r="I1070" s="1"/>
      <c r="J1070" s="1"/>
      <c r="K1070" s="1"/>
      <c r="L1070" s="1"/>
      <c r="M1070" s="1"/>
      <c r="N1070" s="1"/>
      <c r="O1070" s="1"/>
    </row>
    <row r="1071" spans="2:15" x14ac:dyDescent="0.3">
      <c r="B1071" s="1"/>
      <c r="C1071" s="1"/>
      <c r="D1071" s="1"/>
      <c r="E1071" s="1"/>
      <c r="F1071" s="1"/>
      <c r="G1071" s="1"/>
      <c r="H1071" s="1"/>
      <c r="I1071" s="1"/>
      <c r="J1071" s="1"/>
      <c r="K1071" s="1"/>
      <c r="L1071" s="1"/>
      <c r="M1071" s="1"/>
      <c r="N1071" s="1"/>
      <c r="O1071" s="1"/>
    </row>
    <row r="1072" spans="2:15" x14ac:dyDescent="0.3">
      <c r="B1072" s="1"/>
      <c r="C1072" s="1"/>
      <c r="D1072" s="1"/>
      <c r="E1072" s="1"/>
      <c r="F1072" s="1"/>
      <c r="G1072" s="1"/>
      <c r="H1072" s="1"/>
      <c r="I1072" s="1"/>
      <c r="J1072" s="1"/>
      <c r="K1072" s="1"/>
      <c r="L1072" s="1"/>
      <c r="M1072" s="1"/>
      <c r="N1072" s="1"/>
      <c r="O1072" s="1"/>
    </row>
    <row r="1073" spans="2:15" x14ac:dyDescent="0.3">
      <c r="B1073" s="1"/>
      <c r="C1073" s="1"/>
      <c r="D1073" s="1"/>
      <c r="E1073" s="1"/>
      <c r="F1073" s="1"/>
      <c r="G1073" s="1"/>
      <c r="H1073" s="1"/>
      <c r="I1073" s="1"/>
      <c r="J1073" s="1"/>
      <c r="K1073" s="1"/>
      <c r="L1073" s="1"/>
      <c r="M1073" s="1"/>
      <c r="N1073" s="1"/>
      <c r="O1073" s="1"/>
    </row>
    <row r="1074" spans="2:15" x14ac:dyDescent="0.3">
      <c r="B1074" s="1"/>
      <c r="C1074" s="1"/>
      <c r="D1074" s="1"/>
      <c r="E1074" s="1"/>
      <c r="F1074" s="1"/>
      <c r="G1074" s="1"/>
      <c r="H1074" s="1"/>
      <c r="I1074" s="1"/>
      <c r="J1074" s="1"/>
      <c r="K1074" s="1"/>
      <c r="L1074" s="1"/>
      <c r="M1074" s="1"/>
      <c r="N1074" s="1"/>
      <c r="O1074" s="1"/>
    </row>
    <row r="1075" spans="2:15" x14ac:dyDescent="0.3">
      <c r="B1075" s="1"/>
      <c r="C1075" s="1"/>
      <c r="D1075" s="1"/>
      <c r="E1075" s="1"/>
      <c r="F1075" s="1"/>
      <c r="G1075" s="1"/>
      <c r="H1075" s="1"/>
      <c r="I1075" s="1"/>
      <c r="J1075" s="1"/>
      <c r="K1075" s="1"/>
      <c r="L1075" s="1"/>
      <c r="M1075" s="1"/>
      <c r="N1075" s="1"/>
      <c r="O1075" s="1"/>
    </row>
    <row r="1076" spans="2:15" x14ac:dyDescent="0.3">
      <c r="B1076" s="1"/>
      <c r="C1076" s="1"/>
      <c r="D1076" s="1"/>
      <c r="E1076" s="1"/>
      <c r="F1076" s="1"/>
      <c r="G1076" s="1"/>
      <c r="H1076" s="1"/>
      <c r="I1076" s="1"/>
      <c r="J1076" s="1"/>
      <c r="K1076" s="1"/>
      <c r="L1076" s="1"/>
      <c r="M1076" s="1"/>
      <c r="N1076" s="1"/>
      <c r="O1076" s="1"/>
    </row>
    <row r="1077" spans="2:15" x14ac:dyDescent="0.3">
      <c r="B1077" s="1"/>
      <c r="C1077" s="1"/>
      <c r="D1077" s="1"/>
      <c r="E1077" s="1"/>
      <c r="F1077" s="1"/>
      <c r="G1077" s="1"/>
      <c r="H1077" s="1"/>
      <c r="I1077" s="1"/>
      <c r="J1077" s="1"/>
      <c r="K1077" s="1"/>
      <c r="L1077" s="1"/>
      <c r="M1077" s="1"/>
      <c r="N1077" s="1"/>
      <c r="O1077" s="1"/>
    </row>
    <row r="1078" spans="2:15" x14ac:dyDescent="0.3">
      <c r="B1078" s="1"/>
      <c r="C1078" s="1"/>
      <c r="D1078" s="1"/>
      <c r="E1078" s="1"/>
      <c r="F1078" s="1"/>
      <c r="G1078" s="1"/>
      <c r="H1078" s="1"/>
      <c r="I1078" s="1"/>
      <c r="J1078" s="1"/>
      <c r="K1078" s="1"/>
      <c r="L1078" s="1"/>
      <c r="M1078" s="1"/>
      <c r="N1078" s="1"/>
      <c r="O1078" s="1"/>
    </row>
    <row r="1079" spans="2:15" x14ac:dyDescent="0.3">
      <c r="B1079" s="1"/>
      <c r="C1079" s="1"/>
      <c r="D1079" s="1"/>
      <c r="E1079" s="1"/>
      <c r="F1079" s="1"/>
      <c r="G1079" s="1"/>
      <c r="H1079" s="1"/>
      <c r="I1079" s="1"/>
      <c r="J1079" s="1"/>
      <c r="K1079" s="1"/>
      <c r="L1079" s="1"/>
      <c r="M1079" s="1"/>
      <c r="N1079" s="1"/>
      <c r="O1079" s="1"/>
    </row>
    <row r="1080" spans="2:15" x14ac:dyDescent="0.3">
      <c r="B1080" s="1"/>
      <c r="C1080" s="1"/>
      <c r="D1080" s="1"/>
      <c r="E1080" s="1"/>
      <c r="F1080" s="1"/>
      <c r="G1080" s="1"/>
      <c r="H1080" s="1"/>
      <c r="I1080" s="1"/>
      <c r="J1080" s="1"/>
      <c r="K1080" s="1"/>
      <c r="L1080" s="1"/>
      <c r="M1080" s="1"/>
      <c r="N1080" s="1"/>
      <c r="O1080" s="1"/>
    </row>
    <row r="1081" spans="2:15" x14ac:dyDescent="0.3">
      <c r="B1081" s="1"/>
      <c r="C1081" s="1"/>
      <c r="D1081" s="1"/>
      <c r="E1081" s="1"/>
      <c r="F1081" s="1"/>
      <c r="G1081" s="1"/>
      <c r="H1081" s="1"/>
      <c r="I1081" s="1"/>
      <c r="J1081" s="1"/>
      <c r="K1081" s="1"/>
      <c r="L1081" s="1"/>
      <c r="M1081" s="1"/>
      <c r="N1081" s="1"/>
      <c r="O1081" s="1"/>
    </row>
    <row r="1082" spans="2:15" x14ac:dyDescent="0.3">
      <c r="B1082" s="1"/>
      <c r="C1082" s="1"/>
      <c r="D1082" s="1"/>
      <c r="E1082" s="1"/>
      <c r="F1082" s="1"/>
      <c r="G1082" s="1"/>
      <c r="H1082" s="1"/>
      <c r="I1082" s="1"/>
      <c r="J1082" s="1"/>
      <c r="K1082" s="1"/>
      <c r="L1082" s="1"/>
      <c r="M1082" s="1"/>
      <c r="N1082" s="1"/>
      <c r="O1082" s="1"/>
    </row>
    <row r="1083" spans="2:15" x14ac:dyDescent="0.3">
      <c r="B1083" s="1"/>
      <c r="C1083" s="1"/>
      <c r="D1083" s="1"/>
      <c r="E1083" s="1"/>
      <c r="F1083" s="1"/>
      <c r="G1083" s="1"/>
      <c r="H1083" s="1"/>
      <c r="I1083" s="1"/>
      <c r="J1083" s="1"/>
      <c r="K1083" s="1"/>
      <c r="L1083" s="1"/>
      <c r="M1083" s="1"/>
      <c r="N1083" s="1"/>
      <c r="O1083" s="1"/>
    </row>
    <row r="1084" spans="2:15" x14ac:dyDescent="0.3">
      <c r="B1084" s="1"/>
      <c r="C1084" s="1"/>
      <c r="D1084" s="1"/>
      <c r="E1084" s="1"/>
      <c r="F1084" s="1"/>
      <c r="G1084" s="1"/>
      <c r="H1084" s="1"/>
      <c r="I1084" s="1"/>
      <c r="J1084" s="1"/>
      <c r="K1084" s="1"/>
      <c r="L1084" s="1"/>
      <c r="M1084" s="1"/>
      <c r="N1084" s="1"/>
      <c r="O1084" s="1"/>
    </row>
    <row r="1085" spans="2:15" x14ac:dyDescent="0.3">
      <c r="B1085" s="1"/>
      <c r="C1085" s="1"/>
      <c r="D1085" s="1"/>
      <c r="E1085" s="1"/>
      <c r="F1085" s="1"/>
      <c r="G1085" s="1"/>
      <c r="H1085" s="1"/>
      <c r="I1085" s="1"/>
      <c r="J1085" s="1"/>
      <c r="K1085" s="1"/>
      <c r="L1085" s="1"/>
      <c r="M1085" s="1"/>
      <c r="N1085" s="1"/>
      <c r="O1085" s="1"/>
    </row>
    <row r="1086" spans="2:15" x14ac:dyDescent="0.3">
      <c r="B1086" s="1"/>
      <c r="C1086" s="1"/>
      <c r="D1086" s="1"/>
      <c r="E1086" s="1"/>
      <c r="F1086" s="1"/>
      <c r="G1086" s="1"/>
      <c r="H1086" s="1"/>
      <c r="I1086" s="1"/>
      <c r="J1086" s="1"/>
      <c r="K1086" s="1"/>
      <c r="L1086" s="1"/>
      <c r="M1086" s="1"/>
      <c r="N1086" s="1"/>
      <c r="O1086" s="1"/>
    </row>
    <row r="1087" spans="2:15" x14ac:dyDescent="0.3">
      <c r="B1087" s="1"/>
      <c r="C1087" s="1"/>
      <c r="D1087" s="1"/>
      <c r="E1087" s="1"/>
      <c r="F1087" s="1"/>
      <c r="G1087" s="1"/>
      <c r="H1087" s="1"/>
      <c r="I1087" s="1"/>
      <c r="J1087" s="1"/>
      <c r="K1087" s="1"/>
      <c r="L1087" s="1"/>
      <c r="M1087" s="1"/>
      <c r="N1087" s="1"/>
      <c r="O1087" s="1"/>
    </row>
    <row r="1088" spans="2:15" x14ac:dyDescent="0.3">
      <c r="B1088" s="1"/>
      <c r="C1088" s="1"/>
      <c r="D1088" s="1"/>
      <c r="E1088" s="1"/>
      <c r="F1088" s="1"/>
      <c r="G1088" s="1"/>
      <c r="H1088" s="1"/>
      <c r="I1088" s="1"/>
      <c r="J1088" s="1"/>
      <c r="K1088" s="1"/>
      <c r="L1088" s="1"/>
      <c r="M1088" s="1"/>
      <c r="N1088" s="1"/>
      <c r="O1088" s="1"/>
    </row>
    <row r="1089" spans="2:15" x14ac:dyDescent="0.3">
      <c r="B1089" s="1"/>
      <c r="C1089" s="1"/>
      <c r="D1089" s="1"/>
      <c r="E1089" s="1"/>
      <c r="F1089" s="1"/>
      <c r="G1089" s="1"/>
      <c r="H1089" s="1"/>
      <c r="I1089" s="1"/>
      <c r="J1089" s="1"/>
      <c r="K1089" s="1"/>
      <c r="L1089" s="1"/>
      <c r="M1089" s="1"/>
      <c r="N1089" s="1"/>
      <c r="O1089" s="1"/>
    </row>
    <row r="1090" spans="2:15" x14ac:dyDescent="0.3">
      <c r="B1090" s="1"/>
      <c r="C1090" s="1"/>
      <c r="D1090" s="1"/>
      <c r="E1090" s="1"/>
      <c r="F1090" s="1"/>
      <c r="G1090" s="1"/>
      <c r="H1090" s="1"/>
      <c r="I1090" s="1"/>
      <c r="J1090" s="1"/>
      <c r="K1090" s="1"/>
      <c r="L1090" s="1"/>
      <c r="M1090" s="1"/>
      <c r="N1090" s="1"/>
      <c r="O1090" s="1"/>
    </row>
    <row r="1091" spans="2:15" x14ac:dyDescent="0.3">
      <c r="B1091" s="1"/>
      <c r="C1091" s="1"/>
      <c r="D1091" s="1"/>
      <c r="E1091" s="1"/>
      <c r="F1091" s="1"/>
      <c r="G1091" s="1"/>
      <c r="H1091" s="1"/>
      <c r="I1091" s="1"/>
      <c r="J1091" s="1"/>
      <c r="K1091" s="1"/>
      <c r="L1091" s="1"/>
      <c r="M1091" s="1"/>
      <c r="N1091" s="1"/>
      <c r="O1091" s="1"/>
    </row>
    <row r="1092" spans="2:15" x14ac:dyDescent="0.3">
      <c r="B1092" s="1"/>
      <c r="C1092" s="1"/>
      <c r="D1092" s="1"/>
      <c r="E1092" s="1"/>
      <c r="F1092" s="1"/>
      <c r="G1092" s="1"/>
      <c r="H1092" s="1"/>
      <c r="I1092" s="1"/>
      <c r="J1092" s="1"/>
      <c r="K1092" s="1"/>
      <c r="L1092" s="1"/>
      <c r="M1092" s="1"/>
      <c r="N1092" s="1"/>
      <c r="O1092" s="1"/>
    </row>
    <row r="1093" spans="2:15" x14ac:dyDescent="0.3">
      <c r="B1093" s="1"/>
      <c r="C1093" s="1"/>
      <c r="D1093" s="1"/>
      <c r="E1093" s="1"/>
      <c r="F1093" s="1"/>
      <c r="G1093" s="1"/>
      <c r="H1093" s="1"/>
      <c r="I1093" s="1"/>
      <c r="J1093" s="1"/>
      <c r="K1093" s="1"/>
      <c r="L1093" s="1"/>
      <c r="M1093" s="1"/>
      <c r="N1093" s="1"/>
      <c r="O1093" s="1"/>
    </row>
    <row r="1094" spans="2:15" x14ac:dyDescent="0.3">
      <c r="B1094" s="1"/>
      <c r="C1094" s="1"/>
      <c r="D1094" s="1"/>
      <c r="E1094" s="1"/>
      <c r="F1094" s="1"/>
      <c r="G1094" s="1"/>
      <c r="H1094" s="1"/>
      <c r="I1094" s="1"/>
      <c r="J1094" s="1"/>
      <c r="K1094" s="1"/>
      <c r="L1094" s="1"/>
      <c r="M1094" s="1"/>
      <c r="N1094" s="1"/>
      <c r="O1094" s="1"/>
    </row>
    <row r="1095" spans="2:15" x14ac:dyDescent="0.3">
      <c r="B1095" s="1"/>
      <c r="C1095" s="1"/>
      <c r="D1095" s="1"/>
      <c r="E1095" s="1"/>
      <c r="F1095" s="1"/>
      <c r="G1095" s="1"/>
      <c r="H1095" s="1"/>
      <c r="I1095" s="1"/>
      <c r="J1095" s="1"/>
      <c r="K1095" s="1"/>
      <c r="L1095" s="1"/>
      <c r="M1095" s="1"/>
      <c r="N1095" s="1"/>
      <c r="O1095" s="1"/>
    </row>
    <row r="1096" spans="2:15" x14ac:dyDescent="0.3">
      <c r="B1096" s="1"/>
      <c r="C1096" s="1"/>
      <c r="D1096" s="1"/>
      <c r="E1096" s="1"/>
      <c r="F1096" s="1"/>
      <c r="G1096" s="1"/>
      <c r="H1096" s="1"/>
      <c r="I1096" s="1"/>
      <c r="J1096" s="1"/>
      <c r="K1096" s="1"/>
      <c r="L1096" s="1"/>
      <c r="M1096" s="1"/>
      <c r="N1096" s="1"/>
      <c r="O1096" s="1"/>
    </row>
    <row r="1097" spans="2:15" x14ac:dyDescent="0.3">
      <c r="B1097" s="1"/>
      <c r="C1097" s="1"/>
      <c r="D1097" s="1"/>
      <c r="E1097" s="1"/>
      <c r="F1097" s="1"/>
      <c r="G1097" s="1"/>
      <c r="H1097" s="1"/>
      <c r="I1097" s="1"/>
      <c r="J1097" s="1"/>
      <c r="K1097" s="1"/>
      <c r="L1097" s="1"/>
      <c r="M1097" s="1"/>
      <c r="N1097" s="1"/>
      <c r="O1097" s="1"/>
    </row>
    <row r="1098" spans="2:15" x14ac:dyDescent="0.3">
      <c r="B1098" s="1"/>
      <c r="C1098" s="1"/>
      <c r="D1098" s="1"/>
      <c r="E1098" s="1"/>
      <c r="F1098" s="1"/>
      <c r="G1098" s="1"/>
      <c r="H1098" s="1"/>
      <c r="I1098" s="1"/>
      <c r="J1098" s="1"/>
      <c r="K1098" s="1"/>
      <c r="L1098" s="1"/>
      <c r="M1098" s="1"/>
      <c r="N1098" s="1"/>
      <c r="O1098" s="1"/>
    </row>
    <row r="1099" spans="2:15" x14ac:dyDescent="0.3">
      <c r="B1099" s="1"/>
      <c r="C1099" s="1"/>
      <c r="D1099" s="1"/>
      <c r="E1099" s="1"/>
      <c r="F1099" s="1"/>
      <c r="G1099" s="1"/>
      <c r="H1099" s="1"/>
      <c r="I1099" s="1"/>
      <c r="J1099" s="1"/>
      <c r="K1099" s="1"/>
      <c r="L1099" s="1"/>
      <c r="M1099" s="1"/>
      <c r="N1099" s="1"/>
      <c r="O1099" s="1"/>
    </row>
    <row r="1100" spans="2:15" x14ac:dyDescent="0.3">
      <c r="B1100" s="1"/>
      <c r="C1100" s="1"/>
      <c r="D1100" s="1"/>
      <c r="E1100" s="1"/>
      <c r="F1100" s="1"/>
      <c r="G1100" s="1"/>
      <c r="H1100" s="1"/>
      <c r="I1100" s="1"/>
      <c r="J1100" s="1"/>
      <c r="K1100" s="1"/>
      <c r="L1100" s="1"/>
      <c r="M1100" s="1"/>
      <c r="N1100" s="1"/>
      <c r="O1100" s="1"/>
    </row>
    <row r="1101" spans="2:15" x14ac:dyDescent="0.3">
      <c r="B1101" s="1"/>
      <c r="C1101" s="1"/>
      <c r="D1101" s="1"/>
      <c r="E1101" s="1"/>
      <c r="F1101" s="1"/>
      <c r="G1101" s="1"/>
      <c r="H1101" s="1"/>
      <c r="I1101" s="1"/>
      <c r="J1101" s="1"/>
      <c r="K1101" s="1"/>
      <c r="L1101" s="1"/>
      <c r="M1101" s="1"/>
      <c r="N1101" s="1"/>
      <c r="O1101" s="1"/>
    </row>
    <row r="1102" spans="2:15" x14ac:dyDescent="0.3">
      <c r="B1102" s="1"/>
      <c r="C1102" s="1"/>
      <c r="D1102" s="1"/>
      <c r="E1102" s="1"/>
      <c r="F1102" s="1"/>
      <c r="G1102" s="1"/>
      <c r="H1102" s="1"/>
      <c r="I1102" s="1"/>
      <c r="J1102" s="1"/>
      <c r="K1102" s="1"/>
      <c r="L1102" s="1"/>
      <c r="M1102" s="1"/>
      <c r="N1102" s="1"/>
      <c r="O1102" s="1"/>
    </row>
    <row r="1103" spans="2:15" x14ac:dyDescent="0.3">
      <c r="B1103" s="1"/>
      <c r="C1103" s="1"/>
      <c r="D1103" s="1"/>
      <c r="E1103" s="1"/>
      <c r="F1103" s="1"/>
      <c r="G1103" s="1"/>
      <c r="H1103" s="1"/>
      <c r="I1103" s="1"/>
      <c r="J1103" s="1"/>
      <c r="K1103" s="1"/>
      <c r="L1103" s="1"/>
      <c r="M1103" s="1"/>
      <c r="N1103" s="1"/>
      <c r="O1103" s="1"/>
    </row>
    <row r="1104" spans="2:15" x14ac:dyDescent="0.3">
      <c r="B1104" s="1"/>
      <c r="C1104" s="1"/>
      <c r="D1104" s="1"/>
      <c r="E1104" s="1"/>
      <c r="F1104" s="1"/>
      <c r="G1104" s="1"/>
      <c r="H1104" s="1"/>
      <c r="I1104" s="1"/>
      <c r="J1104" s="1"/>
      <c r="K1104" s="1"/>
      <c r="L1104" s="1"/>
      <c r="M1104" s="1"/>
      <c r="N1104" s="1"/>
      <c r="O1104" s="1"/>
    </row>
    <row r="1105" spans="2:15" x14ac:dyDescent="0.3">
      <c r="B1105" s="1"/>
      <c r="C1105" s="1"/>
      <c r="D1105" s="1"/>
      <c r="E1105" s="1"/>
      <c r="F1105" s="1"/>
      <c r="G1105" s="1"/>
      <c r="H1105" s="1"/>
      <c r="I1105" s="1"/>
      <c r="J1105" s="1"/>
      <c r="K1105" s="1"/>
      <c r="L1105" s="1"/>
      <c r="M1105" s="1"/>
      <c r="N1105" s="1"/>
      <c r="O1105" s="1"/>
    </row>
    <row r="1106" spans="2:15" x14ac:dyDescent="0.3">
      <c r="B1106" s="1"/>
      <c r="C1106" s="1"/>
      <c r="D1106" s="1"/>
      <c r="E1106" s="1"/>
      <c r="F1106" s="1"/>
      <c r="G1106" s="1"/>
      <c r="H1106" s="1"/>
      <c r="I1106" s="1"/>
      <c r="J1106" s="1"/>
      <c r="K1106" s="1"/>
      <c r="L1106" s="1"/>
      <c r="M1106" s="1"/>
      <c r="N1106" s="1"/>
      <c r="O1106" s="1"/>
    </row>
    <row r="1107" spans="2:15" x14ac:dyDescent="0.3">
      <c r="B1107" s="1"/>
      <c r="C1107" s="1"/>
      <c r="D1107" s="1"/>
      <c r="E1107" s="1"/>
      <c r="F1107" s="1"/>
      <c r="G1107" s="1"/>
      <c r="H1107" s="1"/>
      <c r="I1107" s="1"/>
      <c r="J1107" s="1"/>
      <c r="K1107" s="1"/>
      <c r="L1107" s="1"/>
      <c r="M1107" s="1"/>
      <c r="N1107" s="1"/>
      <c r="O1107" s="1"/>
    </row>
    <row r="1108" spans="2:15" x14ac:dyDescent="0.3">
      <c r="B1108" s="1"/>
      <c r="C1108" s="1"/>
      <c r="D1108" s="1"/>
      <c r="E1108" s="1"/>
      <c r="F1108" s="1"/>
      <c r="G1108" s="1"/>
      <c r="H1108" s="1"/>
      <c r="I1108" s="1"/>
      <c r="J1108" s="1"/>
      <c r="K1108" s="1"/>
      <c r="L1108" s="1"/>
      <c r="M1108" s="1"/>
      <c r="N1108" s="1"/>
      <c r="O1108" s="1"/>
    </row>
    <row r="1109" spans="2:15" x14ac:dyDescent="0.3">
      <c r="B1109" s="1"/>
      <c r="C1109" s="1"/>
      <c r="D1109" s="1"/>
      <c r="E1109" s="1"/>
      <c r="F1109" s="1"/>
      <c r="G1109" s="1"/>
      <c r="H1109" s="1"/>
      <c r="I1109" s="1"/>
      <c r="J1109" s="1"/>
      <c r="K1109" s="1"/>
      <c r="L1109" s="1"/>
      <c r="M1109" s="1"/>
      <c r="N1109" s="1"/>
      <c r="O1109" s="1"/>
    </row>
    <row r="1110" spans="2:15" x14ac:dyDescent="0.3">
      <c r="B1110" s="1"/>
      <c r="C1110" s="1"/>
      <c r="D1110" s="1"/>
      <c r="E1110" s="1"/>
      <c r="F1110" s="1"/>
      <c r="G1110" s="1"/>
      <c r="H1110" s="1"/>
      <c r="I1110" s="1"/>
      <c r="J1110" s="1"/>
      <c r="K1110" s="1"/>
      <c r="L1110" s="1"/>
      <c r="M1110" s="1"/>
      <c r="N1110" s="1"/>
      <c r="O1110" s="1"/>
    </row>
    <row r="1111" spans="2:15" x14ac:dyDescent="0.3">
      <c r="B1111" s="1"/>
      <c r="C1111" s="1"/>
      <c r="D1111" s="1"/>
      <c r="E1111" s="1"/>
      <c r="F1111" s="1"/>
      <c r="G1111" s="1"/>
      <c r="H1111" s="1"/>
      <c r="I1111" s="1"/>
      <c r="J1111" s="1"/>
      <c r="K1111" s="1"/>
      <c r="L1111" s="1"/>
      <c r="M1111" s="1"/>
      <c r="N1111" s="1"/>
      <c r="O1111" s="1"/>
    </row>
    <row r="1112" spans="2:15" x14ac:dyDescent="0.3">
      <c r="B1112" s="1"/>
      <c r="C1112" s="1"/>
      <c r="D1112" s="1"/>
      <c r="E1112" s="1"/>
      <c r="F1112" s="1"/>
      <c r="G1112" s="1"/>
      <c r="H1112" s="1"/>
      <c r="I1112" s="1"/>
      <c r="J1112" s="1"/>
      <c r="K1112" s="1"/>
      <c r="L1112" s="1"/>
      <c r="M1112" s="1"/>
      <c r="N1112" s="1"/>
      <c r="O1112" s="1"/>
    </row>
    <row r="1113" spans="2:15" x14ac:dyDescent="0.3">
      <c r="B1113" s="1"/>
      <c r="C1113" s="1"/>
      <c r="D1113" s="1"/>
      <c r="E1113" s="1"/>
      <c r="F1113" s="1"/>
      <c r="G1113" s="1"/>
      <c r="H1113" s="1"/>
      <c r="I1113" s="1"/>
      <c r="J1113" s="1"/>
      <c r="K1113" s="1"/>
      <c r="L1113" s="1"/>
      <c r="M1113" s="1"/>
      <c r="N1113" s="1"/>
      <c r="O1113" s="1"/>
    </row>
    <row r="1114" spans="2:15" x14ac:dyDescent="0.3">
      <c r="B1114" s="1"/>
      <c r="C1114" s="1"/>
      <c r="D1114" s="1"/>
      <c r="E1114" s="1"/>
      <c r="F1114" s="1"/>
      <c r="G1114" s="1"/>
      <c r="H1114" s="1"/>
      <c r="I1114" s="1"/>
      <c r="J1114" s="1"/>
      <c r="K1114" s="1"/>
      <c r="L1114" s="1"/>
      <c r="M1114" s="1"/>
      <c r="N1114" s="1"/>
      <c r="O1114" s="1"/>
    </row>
    <row r="1115" spans="2:15" x14ac:dyDescent="0.3">
      <c r="B1115" s="1"/>
      <c r="C1115" s="1"/>
      <c r="D1115" s="1"/>
      <c r="E1115" s="1"/>
      <c r="F1115" s="1"/>
      <c r="G1115" s="1"/>
      <c r="H1115" s="1"/>
      <c r="I1115" s="1"/>
      <c r="J1115" s="1"/>
      <c r="K1115" s="1"/>
      <c r="L1115" s="1"/>
      <c r="M1115" s="1"/>
      <c r="N1115" s="1"/>
      <c r="O1115" s="1"/>
    </row>
    <row r="1116" spans="2:15" x14ac:dyDescent="0.3">
      <c r="B1116" s="1"/>
      <c r="C1116" s="1"/>
      <c r="D1116" s="1"/>
      <c r="E1116" s="1"/>
      <c r="F1116" s="1"/>
      <c r="G1116" s="1"/>
      <c r="H1116" s="1"/>
      <c r="I1116" s="1"/>
      <c r="J1116" s="1"/>
      <c r="K1116" s="1"/>
      <c r="L1116" s="1"/>
      <c r="M1116" s="1"/>
      <c r="N1116" s="1"/>
      <c r="O1116" s="1"/>
    </row>
    <row r="1117" spans="2:15" x14ac:dyDescent="0.3">
      <c r="B1117" s="1"/>
      <c r="C1117" s="1"/>
      <c r="D1117" s="1"/>
      <c r="E1117" s="1"/>
      <c r="F1117" s="1"/>
      <c r="G1117" s="1"/>
      <c r="H1117" s="1"/>
      <c r="I1117" s="1"/>
      <c r="J1117" s="1"/>
      <c r="K1117" s="1"/>
      <c r="L1117" s="1"/>
      <c r="M1117" s="1"/>
      <c r="N1117" s="1"/>
      <c r="O1117" s="1"/>
    </row>
    <row r="1118" spans="2:15" x14ac:dyDescent="0.3">
      <c r="B1118" s="1"/>
      <c r="C1118" s="1"/>
      <c r="D1118" s="1"/>
      <c r="E1118" s="1"/>
      <c r="F1118" s="1"/>
      <c r="G1118" s="1"/>
      <c r="H1118" s="1"/>
      <c r="I1118" s="1"/>
      <c r="J1118" s="1"/>
      <c r="K1118" s="1"/>
      <c r="L1118" s="1"/>
      <c r="M1118" s="1"/>
      <c r="N1118" s="1"/>
      <c r="O1118" s="1"/>
    </row>
    <row r="1119" spans="2:15" x14ac:dyDescent="0.3">
      <c r="B1119" s="1"/>
      <c r="C1119" s="1"/>
      <c r="D1119" s="1"/>
      <c r="E1119" s="1"/>
      <c r="F1119" s="1"/>
      <c r="G1119" s="1"/>
      <c r="H1119" s="1"/>
      <c r="I1119" s="1"/>
      <c r="J1119" s="1"/>
      <c r="K1119" s="1"/>
      <c r="L1119" s="1"/>
      <c r="M1119" s="1"/>
      <c r="N1119" s="1"/>
      <c r="O1119" s="1"/>
    </row>
    <row r="1120" spans="2:15" x14ac:dyDescent="0.3">
      <c r="B1120" s="1"/>
      <c r="C1120" s="1"/>
      <c r="D1120" s="1"/>
      <c r="E1120" s="1"/>
      <c r="F1120" s="1"/>
      <c r="G1120" s="1"/>
      <c r="H1120" s="1"/>
      <c r="I1120" s="1"/>
      <c r="J1120" s="1"/>
      <c r="K1120" s="1"/>
      <c r="L1120" s="1"/>
      <c r="M1120" s="1"/>
      <c r="N1120" s="1"/>
      <c r="O1120" s="1"/>
    </row>
    <row r="1121" spans="2:15" x14ac:dyDescent="0.3">
      <c r="B1121" s="1"/>
      <c r="C1121" s="1"/>
      <c r="D1121" s="1"/>
      <c r="E1121" s="1"/>
      <c r="F1121" s="1"/>
      <c r="G1121" s="1"/>
      <c r="H1121" s="1"/>
      <c r="I1121" s="1"/>
      <c r="J1121" s="1"/>
      <c r="K1121" s="1"/>
      <c r="L1121" s="1"/>
      <c r="M1121" s="1"/>
      <c r="N1121" s="1"/>
      <c r="O1121" s="1"/>
    </row>
    <row r="1122" spans="2:15" x14ac:dyDescent="0.3">
      <c r="B1122" s="1"/>
      <c r="C1122" s="1"/>
      <c r="D1122" s="1"/>
      <c r="E1122" s="1"/>
      <c r="F1122" s="1"/>
      <c r="G1122" s="1"/>
      <c r="H1122" s="1"/>
      <c r="I1122" s="1"/>
      <c r="J1122" s="1"/>
      <c r="K1122" s="1"/>
      <c r="L1122" s="1"/>
      <c r="M1122" s="1"/>
      <c r="N1122" s="1"/>
      <c r="O1122" s="1"/>
    </row>
    <row r="1123" spans="2:15" x14ac:dyDescent="0.3">
      <c r="B1123" s="1"/>
      <c r="C1123" s="1"/>
      <c r="D1123" s="1"/>
      <c r="E1123" s="1"/>
      <c r="F1123" s="1"/>
      <c r="G1123" s="1"/>
      <c r="H1123" s="1"/>
      <c r="I1123" s="1"/>
      <c r="J1123" s="1"/>
      <c r="K1123" s="1"/>
      <c r="L1123" s="1"/>
      <c r="M1123" s="1"/>
      <c r="N1123" s="1"/>
      <c r="O1123" s="1"/>
    </row>
    <row r="1124" spans="2:15" x14ac:dyDescent="0.3">
      <c r="B1124" s="1"/>
      <c r="C1124" s="1"/>
      <c r="D1124" s="1"/>
      <c r="E1124" s="1"/>
      <c r="F1124" s="1"/>
      <c r="G1124" s="1"/>
      <c r="H1124" s="1"/>
      <c r="I1124" s="1"/>
      <c r="J1124" s="1"/>
      <c r="K1124" s="1"/>
      <c r="L1124" s="1"/>
      <c r="M1124" s="1"/>
      <c r="N1124" s="1"/>
      <c r="O1124" s="1"/>
    </row>
    <row r="1125" spans="2:15" x14ac:dyDescent="0.3">
      <c r="B1125" s="1"/>
      <c r="C1125" s="1"/>
      <c r="D1125" s="1"/>
      <c r="E1125" s="1"/>
      <c r="F1125" s="1"/>
      <c r="G1125" s="1"/>
      <c r="H1125" s="1"/>
      <c r="I1125" s="1"/>
      <c r="J1125" s="1"/>
      <c r="K1125" s="1"/>
      <c r="L1125" s="1"/>
      <c r="M1125" s="1"/>
      <c r="N1125" s="1"/>
      <c r="O1125" s="1"/>
    </row>
    <row r="1126" spans="2:15" x14ac:dyDescent="0.3">
      <c r="B1126" s="1"/>
      <c r="C1126" s="1"/>
      <c r="D1126" s="1"/>
      <c r="E1126" s="1"/>
      <c r="F1126" s="1"/>
      <c r="G1126" s="1"/>
      <c r="H1126" s="1"/>
      <c r="I1126" s="1"/>
      <c r="J1126" s="1"/>
      <c r="K1126" s="1"/>
      <c r="L1126" s="1"/>
      <c r="M1126" s="1"/>
      <c r="N1126" s="1"/>
      <c r="O1126" s="1"/>
    </row>
    <row r="1127" spans="2:15" x14ac:dyDescent="0.3">
      <c r="B1127" s="1"/>
      <c r="C1127" s="1"/>
      <c r="D1127" s="1"/>
      <c r="E1127" s="1"/>
      <c r="F1127" s="1"/>
      <c r="G1127" s="1"/>
      <c r="H1127" s="1"/>
      <c r="I1127" s="1"/>
      <c r="J1127" s="1"/>
      <c r="K1127" s="1"/>
      <c r="L1127" s="1"/>
      <c r="M1127" s="1"/>
      <c r="N1127" s="1"/>
      <c r="O1127" s="1"/>
    </row>
    <row r="1128" spans="2:15" x14ac:dyDescent="0.3">
      <c r="B1128" s="1"/>
      <c r="C1128" s="1"/>
      <c r="D1128" s="1"/>
      <c r="E1128" s="1"/>
      <c r="F1128" s="1"/>
      <c r="G1128" s="1"/>
      <c r="H1128" s="1"/>
      <c r="I1128" s="1"/>
      <c r="J1128" s="1"/>
      <c r="K1128" s="1"/>
      <c r="L1128" s="1"/>
      <c r="M1128" s="1"/>
      <c r="N1128" s="1"/>
      <c r="O1128" s="1"/>
    </row>
    <row r="1129" spans="2:15" x14ac:dyDescent="0.3">
      <c r="B1129" s="1"/>
      <c r="C1129" s="1"/>
      <c r="D1129" s="1"/>
      <c r="E1129" s="1"/>
      <c r="F1129" s="1"/>
      <c r="G1129" s="1"/>
      <c r="H1129" s="1"/>
      <c r="I1129" s="1"/>
      <c r="J1129" s="1"/>
      <c r="K1129" s="1"/>
      <c r="L1129" s="1"/>
      <c r="M1129" s="1"/>
      <c r="N1129" s="1"/>
      <c r="O1129" s="1"/>
    </row>
    <row r="1130" spans="2:15" x14ac:dyDescent="0.3">
      <c r="B1130" s="1"/>
      <c r="C1130" s="1"/>
      <c r="D1130" s="1"/>
      <c r="E1130" s="1"/>
      <c r="F1130" s="1"/>
      <c r="G1130" s="1"/>
      <c r="H1130" s="1"/>
      <c r="I1130" s="1"/>
      <c r="J1130" s="1"/>
      <c r="K1130" s="1"/>
      <c r="L1130" s="1"/>
      <c r="M1130" s="1"/>
      <c r="N1130" s="1"/>
      <c r="O1130" s="1"/>
    </row>
    <row r="1131" spans="2:15" x14ac:dyDescent="0.3">
      <c r="B1131" s="1"/>
      <c r="C1131" s="1"/>
      <c r="D1131" s="1"/>
      <c r="E1131" s="1"/>
      <c r="F1131" s="1"/>
      <c r="G1131" s="1"/>
      <c r="H1131" s="1"/>
      <c r="I1131" s="1"/>
      <c r="J1131" s="1"/>
      <c r="K1131" s="1"/>
      <c r="L1131" s="1"/>
      <c r="M1131" s="1"/>
      <c r="N1131" s="1"/>
      <c r="O1131" s="1"/>
    </row>
    <row r="1132" spans="2:15" x14ac:dyDescent="0.3">
      <c r="B1132" s="1"/>
      <c r="C1132" s="1"/>
      <c r="D1132" s="1"/>
      <c r="E1132" s="1"/>
      <c r="F1132" s="1"/>
      <c r="G1132" s="1"/>
      <c r="H1132" s="1"/>
      <c r="I1132" s="1"/>
      <c r="J1132" s="1"/>
      <c r="K1132" s="1"/>
      <c r="L1132" s="1"/>
      <c r="M1132" s="1"/>
      <c r="N1132" s="1"/>
      <c r="O1132" s="1"/>
    </row>
    <row r="1133" spans="2:15" x14ac:dyDescent="0.3">
      <c r="B1133" s="1"/>
      <c r="C1133" s="1"/>
      <c r="D1133" s="1"/>
      <c r="E1133" s="1"/>
      <c r="F1133" s="1"/>
      <c r="G1133" s="1"/>
      <c r="H1133" s="1"/>
      <c r="I1133" s="1"/>
      <c r="J1133" s="1"/>
      <c r="K1133" s="1"/>
      <c r="L1133" s="1"/>
      <c r="M1133" s="1"/>
      <c r="N1133" s="1"/>
      <c r="O1133" s="1"/>
    </row>
    <row r="1134" spans="2:15" x14ac:dyDescent="0.3">
      <c r="B1134" s="1"/>
      <c r="C1134" s="1"/>
      <c r="D1134" s="1"/>
      <c r="E1134" s="1"/>
      <c r="F1134" s="1"/>
      <c r="G1134" s="1"/>
      <c r="H1134" s="1"/>
      <c r="I1134" s="1"/>
      <c r="J1134" s="1"/>
      <c r="K1134" s="1"/>
      <c r="L1134" s="1"/>
      <c r="M1134" s="1"/>
      <c r="N1134" s="1"/>
      <c r="O1134" s="1"/>
    </row>
    <row r="1135" spans="2:15" x14ac:dyDescent="0.3">
      <c r="B1135" s="1"/>
      <c r="C1135" s="1"/>
      <c r="D1135" s="1"/>
      <c r="E1135" s="1"/>
      <c r="F1135" s="1"/>
      <c r="G1135" s="1"/>
      <c r="H1135" s="1"/>
      <c r="I1135" s="1"/>
      <c r="J1135" s="1"/>
      <c r="K1135" s="1"/>
      <c r="L1135" s="1"/>
      <c r="M1135" s="1"/>
      <c r="N1135" s="1"/>
      <c r="O1135" s="1"/>
    </row>
    <row r="1136" spans="2:15" x14ac:dyDescent="0.3">
      <c r="B1136" s="1"/>
      <c r="C1136" s="1"/>
      <c r="D1136" s="1"/>
      <c r="E1136" s="1"/>
      <c r="F1136" s="1"/>
      <c r="G1136" s="1"/>
      <c r="H1136" s="1"/>
      <c r="I1136" s="1"/>
      <c r="J1136" s="1"/>
      <c r="K1136" s="1"/>
      <c r="L1136" s="1"/>
      <c r="M1136" s="1"/>
      <c r="N1136" s="1"/>
      <c r="O1136" s="1"/>
    </row>
    <row r="1137" spans="2:15" x14ac:dyDescent="0.3">
      <c r="B1137" s="1"/>
      <c r="C1137" s="1"/>
      <c r="D1137" s="1"/>
      <c r="E1137" s="1"/>
      <c r="F1137" s="1"/>
      <c r="G1137" s="1"/>
      <c r="H1137" s="1"/>
      <c r="I1137" s="1"/>
      <c r="J1137" s="1"/>
      <c r="K1137" s="1"/>
      <c r="L1137" s="1"/>
      <c r="M1137" s="1"/>
      <c r="N1137" s="1"/>
      <c r="O1137" s="1"/>
    </row>
    <row r="1138" spans="2:15" x14ac:dyDescent="0.3">
      <c r="B1138" s="1"/>
      <c r="C1138" s="1"/>
      <c r="D1138" s="1"/>
      <c r="E1138" s="1"/>
      <c r="F1138" s="1"/>
      <c r="G1138" s="1"/>
      <c r="H1138" s="1"/>
      <c r="I1138" s="1"/>
      <c r="J1138" s="1"/>
      <c r="K1138" s="1"/>
      <c r="L1138" s="1"/>
      <c r="M1138" s="1"/>
      <c r="N1138" s="1"/>
      <c r="O1138" s="1"/>
    </row>
    <row r="1139" spans="2:15" x14ac:dyDescent="0.3">
      <c r="B1139" s="1"/>
      <c r="C1139" s="1"/>
      <c r="D1139" s="1"/>
      <c r="E1139" s="1"/>
      <c r="F1139" s="1"/>
      <c r="G1139" s="1"/>
      <c r="H1139" s="1"/>
      <c r="I1139" s="1"/>
      <c r="J1139" s="1"/>
      <c r="K1139" s="1"/>
      <c r="L1139" s="1"/>
      <c r="M1139" s="1"/>
      <c r="N1139" s="1"/>
      <c r="O1139" s="1"/>
    </row>
    <row r="1140" spans="2:15" x14ac:dyDescent="0.3">
      <c r="B1140" s="1"/>
      <c r="C1140" s="1"/>
      <c r="D1140" s="1"/>
      <c r="E1140" s="1"/>
      <c r="F1140" s="1"/>
      <c r="G1140" s="1"/>
      <c r="H1140" s="1"/>
      <c r="I1140" s="1"/>
      <c r="J1140" s="1"/>
      <c r="K1140" s="1"/>
      <c r="L1140" s="1"/>
      <c r="M1140" s="1"/>
      <c r="N1140" s="1"/>
      <c r="O1140" s="1"/>
    </row>
    <row r="1141" spans="2:15" x14ac:dyDescent="0.3">
      <c r="B1141" s="1"/>
      <c r="C1141" s="1"/>
      <c r="D1141" s="1"/>
      <c r="E1141" s="1"/>
      <c r="F1141" s="1"/>
      <c r="G1141" s="1"/>
      <c r="H1141" s="1"/>
      <c r="I1141" s="1"/>
      <c r="J1141" s="1"/>
      <c r="K1141" s="1"/>
      <c r="L1141" s="1"/>
      <c r="M1141" s="1"/>
      <c r="N1141" s="1"/>
      <c r="O1141" s="1"/>
    </row>
    <row r="1142" spans="2:15" x14ac:dyDescent="0.3">
      <c r="B1142" s="1"/>
      <c r="C1142" s="1"/>
      <c r="D1142" s="1"/>
      <c r="E1142" s="1"/>
      <c r="F1142" s="1"/>
      <c r="G1142" s="1"/>
      <c r="H1142" s="1"/>
      <c r="I1142" s="1"/>
      <c r="J1142" s="1"/>
      <c r="K1142" s="1"/>
      <c r="L1142" s="1"/>
      <c r="M1142" s="1"/>
      <c r="N1142" s="1"/>
      <c r="O1142" s="1"/>
    </row>
    <row r="1143" spans="2:15" x14ac:dyDescent="0.3">
      <c r="B1143" s="1"/>
      <c r="C1143" s="1"/>
      <c r="D1143" s="1"/>
      <c r="E1143" s="1"/>
      <c r="F1143" s="1"/>
      <c r="G1143" s="1"/>
      <c r="H1143" s="1"/>
      <c r="I1143" s="1"/>
      <c r="J1143" s="1"/>
      <c r="K1143" s="1"/>
      <c r="L1143" s="1"/>
      <c r="M1143" s="1"/>
      <c r="N1143" s="1"/>
      <c r="O1143" s="1"/>
    </row>
    <row r="1144" spans="2:15" x14ac:dyDescent="0.3">
      <c r="B1144" s="1"/>
      <c r="C1144" s="1"/>
      <c r="D1144" s="1"/>
      <c r="E1144" s="1"/>
      <c r="F1144" s="1"/>
      <c r="G1144" s="1"/>
      <c r="H1144" s="1"/>
      <c r="I1144" s="1"/>
      <c r="J1144" s="1"/>
      <c r="K1144" s="1"/>
      <c r="L1144" s="1"/>
      <c r="M1144" s="1"/>
      <c r="N1144" s="1"/>
      <c r="O1144" s="1"/>
    </row>
    <row r="1145" spans="2:15" x14ac:dyDescent="0.3">
      <c r="B1145" s="1"/>
      <c r="C1145" s="1"/>
      <c r="D1145" s="1"/>
      <c r="E1145" s="1"/>
      <c r="F1145" s="1"/>
      <c r="G1145" s="1"/>
      <c r="H1145" s="1"/>
      <c r="I1145" s="1"/>
      <c r="J1145" s="1"/>
      <c r="K1145" s="1"/>
      <c r="L1145" s="1"/>
      <c r="M1145" s="1"/>
      <c r="N1145" s="1"/>
      <c r="O1145" s="1"/>
    </row>
    <row r="1146" spans="2:15" x14ac:dyDescent="0.3">
      <c r="B1146" s="1"/>
      <c r="C1146" s="1"/>
      <c r="D1146" s="1"/>
      <c r="E1146" s="1"/>
      <c r="F1146" s="1"/>
      <c r="G1146" s="1"/>
      <c r="H1146" s="1"/>
      <c r="I1146" s="1"/>
      <c r="J1146" s="1"/>
      <c r="K1146" s="1"/>
      <c r="L1146" s="1"/>
      <c r="M1146" s="1"/>
      <c r="N1146" s="1"/>
      <c r="O1146" s="1"/>
    </row>
    <row r="1147" spans="2:15" x14ac:dyDescent="0.3">
      <c r="B1147" s="1"/>
      <c r="C1147" s="1"/>
      <c r="D1147" s="1"/>
      <c r="E1147" s="1"/>
      <c r="F1147" s="1"/>
      <c r="G1147" s="1"/>
      <c r="H1147" s="1"/>
      <c r="I1147" s="1"/>
      <c r="J1147" s="1"/>
      <c r="K1147" s="1"/>
      <c r="L1147" s="1"/>
      <c r="M1147" s="1"/>
      <c r="N1147" s="1"/>
      <c r="O1147" s="1"/>
    </row>
    <row r="1148" spans="2:15" x14ac:dyDescent="0.3">
      <c r="B1148" s="1"/>
      <c r="C1148" s="1"/>
      <c r="D1148" s="1"/>
      <c r="E1148" s="1"/>
      <c r="F1148" s="1"/>
      <c r="G1148" s="1"/>
      <c r="H1148" s="1"/>
      <c r="I1148" s="1"/>
      <c r="J1148" s="1"/>
      <c r="K1148" s="1"/>
      <c r="L1148" s="1"/>
      <c r="M1148" s="1"/>
      <c r="N1148" s="1"/>
      <c r="O1148" s="1"/>
    </row>
    <row r="1149" spans="2:15" x14ac:dyDescent="0.3">
      <c r="B1149" s="1"/>
      <c r="C1149" s="1"/>
      <c r="D1149" s="1"/>
      <c r="E1149" s="1"/>
      <c r="F1149" s="1"/>
      <c r="G1149" s="1"/>
      <c r="H1149" s="1"/>
      <c r="I1149" s="1"/>
      <c r="J1149" s="1"/>
      <c r="K1149" s="1"/>
      <c r="L1149" s="1"/>
      <c r="M1149" s="1"/>
      <c r="N1149" s="1"/>
      <c r="O1149" s="1"/>
    </row>
    <row r="1150" spans="2:15" x14ac:dyDescent="0.3">
      <c r="B1150" s="1"/>
      <c r="C1150" s="1"/>
      <c r="D1150" s="1"/>
      <c r="E1150" s="1"/>
      <c r="F1150" s="1"/>
      <c r="G1150" s="1"/>
      <c r="H1150" s="1"/>
      <c r="I1150" s="1"/>
      <c r="J1150" s="1"/>
      <c r="K1150" s="1"/>
      <c r="L1150" s="1"/>
      <c r="M1150" s="1"/>
      <c r="N1150" s="1"/>
      <c r="O1150" s="1"/>
    </row>
    <row r="1151" spans="2:15" x14ac:dyDescent="0.3">
      <c r="B1151" s="1"/>
      <c r="C1151" s="1"/>
      <c r="D1151" s="1"/>
      <c r="E1151" s="1"/>
      <c r="F1151" s="1"/>
      <c r="G1151" s="1"/>
      <c r="H1151" s="1"/>
      <c r="I1151" s="1"/>
      <c r="J1151" s="1"/>
      <c r="K1151" s="1"/>
      <c r="L1151" s="1"/>
      <c r="M1151" s="1"/>
      <c r="N1151" s="1"/>
      <c r="O1151" s="1"/>
    </row>
    <row r="1152" spans="2:15" x14ac:dyDescent="0.3">
      <c r="B1152" s="1"/>
      <c r="C1152" s="1"/>
      <c r="D1152" s="1"/>
      <c r="E1152" s="1"/>
      <c r="F1152" s="1"/>
      <c r="G1152" s="1"/>
      <c r="H1152" s="1"/>
      <c r="I1152" s="1"/>
      <c r="J1152" s="1"/>
      <c r="K1152" s="1"/>
      <c r="L1152" s="1"/>
      <c r="M1152" s="1"/>
      <c r="N1152" s="1"/>
      <c r="O1152" s="1"/>
    </row>
    <row r="1153" spans="2:15" x14ac:dyDescent="0.3">
      <c r="B1153" s="1"/>
      <c r="C1153" s="1"/>
      <c r="D1153" s="1"/>
      <c r="E1153" s="1"/>
      <c r="F1153" s="1"/>
      <c r="G1153" s="1"/>
      <c r="H1153" s="1"/>
      <c r="I1153" s="1"/>
      <c r="J1153" s="1"/>
      <c r="K1153" s="1"/>
      <c r="L1153" s="1"/>
      <c r="M1153" s="1"/>
      <c r="N1153" s="1"/>
      <c r="O1153" s="1"/>
    </row>
    <row r="1154" spans="2:15" x14ac:dyDescent="0.3">
      <c r="B1154" s="1"/>
      <c r="C1154" s="1"/>
      <c r="D1154" s="1"/>
      <c r="E1154" s="1"/>
      <c r="F1154" s="1"/>
      <c r="G1154" s="1"/>
      <c r="H1154" s="1"/>
      <c r="I1154" s="1"/>
      <c r="J1154" s="1"/>
      <c r="K1154" s="1"/>
      <c r="L1154" s="1"/>
      <c r="M1154" s="1"/>
      <c r="N1154" s="1"/>
      <c r="O1154" s="1"/>
    </row>
    <row r="1155" spans="2:15" x14ac:dyDescent="0.3">
      <c r="B1155" s="1"/>
      <c r="C1155" s="1"/>
      <c r="D1155" s="1"/>
      <c r="E1155" s="1"/>
      <c r="F1155" s="1"/>
      <c r="G1155" s="1"/>
      <c r="H1155" s="1"/>
      <c r="I1155" s="1"/>
      <c r="J1155" s="1"/>
      <c r="K1155" s="1"/>
      <c r="L1155" s="1"/>
      <c r="M1155" s="1"/>
      <c r="N1155" s="1"/>
      <c r="O1155" s="1"/>
    </row>
    <row r="1156" spans="2:15" x14ac:dyDescent="0.3">
      <c r="B1156" s="1"/>
      <c r="C1156" s="1"/>
      <c r="D1156" s="1"/>
      <c r="E1156" s="1"/>
      <c r="F1156" s="1"/>
      <c r="G1156" s="1"/>
      <c r="H1156" s="1"/>
      <c r="I1156" s="1"/>
      <c r="J1156" s="1"/>
      <c r="K1156" s="1"/>
      <c r="L1156" s="1"/>
      <c r="M1156" s="1"/>
      <c r="N1156" s="1"/>
      <c r="O1156" s="1"/>
    </row>
    <row r="1157" spans="2:15" x14ac:dyDescent="0.3">
      <c r="B1157" s="1"/>
      <c r="C1157" s="1"/>
      <c r="D1157" s="1"/>
      <c r="E1157" s="1"/>
      <c r="F1157" s="1"/>
      <c r="G1157" s="1"/>
      <c r="H1157" s="1"/>
      <c r="I1157" s="1"/>
      <c r="J1157" s="1"/>
      <c r="K1157" s="1"/>
      <c r="L1157" s="1"/>
      <c r="M1157" s="1"/>
      <c r="N1157" s="1"/>
      <c r="O1157" s="1"/>
    </row>
    <row r="1158" spans="2:15" x14ac:dyDescent="0.3">
      <c r="B1158" s="1"/>
      <c r="C1158" s="1"/>
      <c r="D1158" s="1"/>
      <c r="E1158" s="1"/>
      <c r="F1158" s="1"/>
      <c r="G1158" s="1"/>
      <c r="H1158" s="1"/>
      <c r="I1158" s="1"/>
      <c r="J1158" s="1"/>
      <c r="K1158" s="1"/>
      <c r="L1158" s="1"/>
      <c r="M1158" s="1"/>
      <c r="N1158" s="1"/>
      <c r="O1158" s="1"/>
    </row>
    <row r="1159" spans="2:15" x14ac:dyDescent="0.3">
      <c r="B1159" s="1"/>
      <c r="C1159" s="1"/>
      <c r="D1159" s="1"/>
      <c r="E1159" s="1"/>
      <c r="F1159" s="1"/>
      <c r="G1159" s="1"/>
      <c r="H1159" s="1"/>
      <c r="I1159" s="1"/>
      <c r="J1159" s="1"/>
      <c r="K1159" s="1"/>
      <c r="L1159" s="1"/>
      <c r="M1159" s="1"/>
      <c r="N1159" s="1"/>
      <c r="O1159" s="1"/>
    </row>
    <row r="1160" spans="2:15" x14ac:dyDescent="0.3">
      <c r="B1160" s="1"/>
      <c r="C1160" s="1"/>
      <c r="D1160" s="1"/>
      <c r="E1160" s="1"/>
      <c r="F1160" s="1"/>
      <c r="G1160" s="1"/>
      <c r="H1160" s="1"/>
      <c r="I1160" s="1"/>
      <c r="J1160" s="1"/>
      <c r="K1160" s="1"/>
      <c r="L1160" s="1"/>
      <c r="M1160" s="1"/>
      <c r="N1160" s="1"/>
      <c r="O1160" s="1"/>
    </row>
    <row r="1161" spans="2:15" x14ac:dyDescent="0.3">
      <c r="B1161" s="1"/>
      <c r="C1161" s="1"/>
      <c r="D1161" s="1"/>
      <c r="E1161" s="1"/>
      <c r="F1161" s="1"/>
      <c r="G1161" s="1"/>
      <c r="H1161" s="1"/>
      <c r="I1161" s="1"/>
      <c r="J1161" s="1"/>
      <c r="K1161" s="1"/>
      <c r="L1161" s="1"/>
      <c r="M1161" s="1"/>
      <c r="N1161" s="1"/>
      <c r="O1161" s="1"/>
    </row>
    <row r="1162" spans="2:15" x14ac:dyDescent="0.3">
      <c r="B1162" s="1"/>
      <c r="C1162" s="1"/>
      <c r="D1162" s="1"/>
      <c r="E1162" s="1"/>
      <c r="F1162" s="1"/>
      <c r="G1162" s="1"/>
      <c r="H1162" s="1"/>
      <c r="I1162" s="1"/>
      <c r="J1162" s="1"/>
      <c r="K1162" s="1"/>
      <c r="L1162" s="1"/>
      <c r="M1162" s="1"/>
      <c r="N1162" s="1"/>
      <c r="O1162" s="1"/>
    </row>
    <row r="1163" spans="2:15" x14ac:dyDescent="0.3">
      <c r="B1163" s="1"/>
      <c r="C1163" s="1"/>
      <c r="D1163" s="1"/>
      <c r="E1163" s="1"/>
      <c r="F1163" s="1"/>
      <c r="G1163" s="1"/>
      <c r="H1163" s="1"/>
      <c r="I1163" s="1"/>
      <c r="J1163" s="1"/>
      <c r="K1163" s="1"/>
      <c r="L1163" s="1"/>
      <c r="M1163" s="1"/>
      <c r="N1163" s="1"/>
      <c r="O1163" s="1"/>
    </row>
    <row r="1164" spans="2:15" x14ac:dyDescent="0.3">
      <c r="B1164" s="1"/>
      <c r="C1164" s="1"/>
      <c r="D1164" s="1"/>
      <c r="E1164" s="1"/>
      <c r="F1164" s="1"/>
      <c r="G1164" s="1"/>
      <c r="H1164" s="1"/>
      <c r="I1164" s="1"/>
      <c r="J1164" s="1"/>
      <c r="K1164" s="1"/>
      <c r="L1164" s="1"/>
      <c r="M1164" s="1"/>
      <c r="N1164" s="1"/>
      <c r="O1164" s="1"/>
    </row>
    <row r="1165" spans="2:15" x14ac:dyDescent="0.3">
      <c r="B1165" s="1"/>
      <c r="C1165" s="1"/>
      <c r="D1165" s="1"/>
      <c r="E1165" s="1"/>
      <c r="F1165" s="1"/>
      <c r="G1165" s="1"/>
      <c r="H1165" s="1"/>
      <c r="I1165" s="1"/>
      <c r="J1165" s="1"/>
      <c r="K1165" s="1"/>
      <c r="L1165" s="1"/>
      <c r="M1165" s="1"/>
      <c r="N1165" s="1"/>
      <c r="O1165" s="1"/>
    </row>
    <row r="1166" spans="2:15" x14ac:dyDescent="0.3">
      <c r="B1166" s="1"/>
      <c r="C1166" s="1"/>
      <c r="D1166" s="1"/>
      <c r="E1166" s="1"/>
      <c r="F1166" s="1"/>
      <c r="G1166" s="1"/>
      <c r="H1166" s="1"/>
      <c r="I1166" s="1"/>
      <c r="J1166" s="1"/>
      <c r="K1166" s="1"/>
      <c r="L1166" s="1"/>
      <c r="M1166" s="1"/>
      <c r="N1166" s="1"/>
      <c r="O1166" s="1"/>
    </row>
    <row r="1167" spans="2:15" x14ac:dyDescent="0.3">
      <c r="B1167" s="1"/>
      <c r="C1167" s="1"/>
      <c r="D1167" s="1"/>
      <c r="E1167" s="1"/>
      <c r="F1167" s="1"/>
      <c r="G1167" s="1"/>
      <c r="H1167" s="1"/>
      <c r="I1167" s="1"/>
      <c r="J1167" s="1"/>
      <c r="K1167" s="1"/>
      <c r="L1167" s="1"/>
      <c r="M1167" s="1"/>
      <c r="N1167" s="1"/>
      <c r="O1167" s="1"/>
    </row>
    <row r="1168" spans="2:15" x14ac:dyDescent="0.3">
      <c r="B1168" s="1"/>
      <c r="C1168" s="1"/>
      <c r="D1168" s="1"/>
      <c r="E1168" s="1"/>
      <c r="F1168" s="1"/>
      <c r="G1168" s="1"/>
      <c r="H1168" s="1"/>
      <c r="I1168" s="1"/>
      <c r="J1168" s="1"/>
      <c r="K1168" s="1"/>
      <c r="L1168" s="1"/>
      <c r="M1168" s="1"/>
      <c r="N1168" s="1"/>
      <c r="O1168" s="1"/>
    </row>
    <row r="1169" spans="2:15" x14ac:dyDescent="0.3">
      <c r="B1169" s="1"/>
      <c r="C1169" s="1"/>
      <c r="D1169" s="1"/>
      <c r="E1169" s="1"/>
      <c r="F1169" s="1"/>
      <c r="G1169" s="1"/>
      <c r="H1169" s="1"/>
      <c r="I1169" s="1"/>
      <c r="J1169" s="1"/>
      <c r="K1169" s="1"/>
      <c r="L1169" s="1"/>
      <c r="M1169" s="1"/>
      <c r="N1169" s="1"/>
      <c r="O1169" s="1"/>
    </row>
    <row r="1170" spans="2:15" x14ac:dyDescent="0.3">
      <c r="B1170" s="1"/>
      <c r="C1170" s="1"/>
      <c r="D1170" s="1"/>
      <c r="E1170" s="1"/>
      <c r="F1170" s="1"/>
      <c r="G1170" s="1"/>
      <c r="H1170" s="1"/>
      <c r="I1170" s="1"/>
      <c r="J1170" s="1"/>
      <c r="K1170" s="1"/>
      <c r="L1170" s="1"/>
      <c r="M1170" s="1"/>
      <c r="N1170" s="1"/>
      <c r="O1170" s="1"/>
    </row>
    <row r="1171" spans="2:15" x14ac:dyDescent="0.3">
      <c r="B1171" s="1"/>
      <c r="C1171" s="1"/>
      <c r="D1171" s="1"/>
      <c r="E1171" s="1"/>
      <c r="F1171" s="1"/>
      <c r="G1171" s="1"/>
      <c r="H1171" s="1"/>
      <c r="I1171" s="1"/>
      <c r="J1171" s="1"/>
      <c r="K1171" s="1"/>
      <c r="L1171" s="1"/>
      <c r="M1171" s="1"/>
      <c r="N1171" s="1"/>
      <c r="O1171" s="1"/>
    </row>
    <row r="1172" spans="2:15" x14ac:dyDescent="0.3">
      <c r="B1172" s="1"/>
      <c r="C1172" s="1"/>
      <c r="D1172" s="1"/>
      <c r="E1172" s="1"/>
      <c r="F1172" s="1"/>
      <c r="G1172" s="1"/>
      <c r="H1172" s="1"/>
      <c r="I1172" s="1"/>
      <c r="J1172" s="1"/>
      <c r="K1172" s="1"/>
      <c r="L1172" s="1"/>
      <c r="M1172" s="1"/>
      <c r="N1172" s="1"/>
      <c r="O1172" s="1"/>
    </row>
    <row r="1173" spans="2:15" x14ac:dyDescent="0.3">
      <c r="B1173" s="1"/>
      <c r="C1173" s="1"/>
      <c r="D1173" s="1"/>
      <c r="E1173" s="1"/>
      <c r="F1173" s="1"/>
      <c r="G1173" s="1"/>
      <c r="H1173" s="1"/>
      <c r="I1173" s="1"/>
      <c r="J1173" s="1"/>
      <c r="K1173" s="1"/>
      <c r="L1173" s="1"/>
      <c r="M1173" s="1"/>
      <c r="N1173" s="1"/>
      <c r="O1173" s="1"/>
    </row>
    <row r="1174" spans="2:15" x14ac:dyDescent="0.3">
      <c r="B1174" s="1"/>
      <c r="C1174" s="1"/>
      <c r="D1174" s="1"/>
      <c r="E1174" s="1"/>
      <c r="F1174" s="1"/>
      <c r="G1174" s="1"/>
      <c r="H1174" s="1"/>
      <c r="I1174" s="1"/>
      <c r="J1174" s="1"/>
      <c r="K1174" s="1"/>
      <c r="L1174" s="1"/>
      <c r="M1174" s="1"/>
      <c r="N1174" s="1"/>
      <c r="O1174" s="1"/>
    </row>
    <row r="1175" spans="2:15" x14ac:dyDescent="0.3">
      <c r="B1175" s="1"/>
      <c r="C1175" s="1"/>
      <c r="D1175" s="1"/>
      <c r="E1175" s="1"/>
      <c r="F1175" s="1"/>
      <c r="G1175" s="1"/>
      <c r="H1175" s="1"/>
      <c r="I1175" s="1"/>
      <c r="J1175" s="1"/>
      <c r="K1175" s="1"/>
      <c r="L1175" s="1"/>
      <c r="M1175" s="1"/>
      <c r="N1175" s="1"/>
      <c r="O1175" s="1"/>
    </row>
    <row r="1176" spans="2:15" x14ac:dyDescent="0.3">
      <c r="B1176" s="1"/>
      <c r="C1176" s="1"/>
      <c r="D1176" s="1"/>
      <c r="E1176" s="1"/>
      <c r="F1176" s="1"/>
      <c r="G1176" s="1"/>
      <c r="H1176" s="1"/>
      <c r="I1176" s="1"/>
      <c r="J1176" s="1"/>
      <c r="K1176" s="1"/>
      <c r="L1176" s="1"/>
      <c r="M1176" s="1"/>
      <c r="N1176" s="1"/>
      <c r="O1176" s="1"/>
    </row>
    <row r="1177" spans="2:15" x14ac:dyDescent="0.3">
      <c r="B1177" s="1"/>
      <c r="C1177" s="1"/>
      <c r="D1177" s="1"/>
      <c r="E1177" s="1"/>
      <c r="F1177" s="1"/>
      <c r="G1177" s="1"/>
      <c r="H1177" s="1"/>
      <c r="I1177" s="1"/>
      <c r="J1177" s="1"/>
      <c r="K1177" s="1"/>
      <c r="L1177" s="1"/>
      <c r="M1177" s="1"/>
      <c r="N1177" s="1"/>
      <c r="O1177" s="1"/>
    </row>
    <row r="1178" spans="2:15" x14ac:dyDescent="0.3">
      <c r="B1178" s="1"/>
      <c r="C1178" s="1"/>
      <c r="D1178" s="1"/>
      <c r="E1178" s="1"/>
      <c r="F1178" s="1"/>
      <c r="G1178" s="1"/>
      <c r="H1178" s="1"/>
      <c r="I1178" s="1"/>
      <c r="J1178" s="1"/>
      <c r="K1178" s="1"/>
      <c r="L1178" s="1"/>
      <c r="M1178" s="1"/>
      <c r="N1178" s="1"/>
      <c r="O1178" s="1"/>
    </row>
    <row r="1179" spans="2:15" x14ac:dyDescent="0.3">
      <c r="B1179" s="1"/>
      <c r="C1179" s="1"/>
      <c r="D1179" s="1"/>
      <c r="E1179" s="1"/>
      <c r="F1179" s="1"/>
      <c r="G1179" s="1"/>
      <c r="H1179" s="1"/>
      <c r="I1179" s="1"/>
      <c r="J1179" s="1"/>
      <c r="K1179" s="1"/>
      <c r="L1179" s="1"/>
      <c r="M1179" s="1"/>
      <c r="N1179" s="1"/>
      <c r="O1179" s="1"/>
    </row>
    <row r="1180" spans="2:15" x14ac:dyDescent="0.3">
      <c r="B1180" s="1"/>
      <c r="C1180" s="1"/>
      <c r="D1180" s="1"/>
      <c r="E1180" s="1"/>
      <c r="F1180" s="1"/>
      <c r="G1180" s="1"/>
      <c r="H1180" s="1"/>
      <c r="I1180" s="1"/>
      <c r="J1180" s="1"/>
      <c r="K1180" s="1"/>
      <c r="L1180" s="1"/>
      <c r="M1180" s="1"/>
      <c r="N1180" s="1"/>
      <c r="O1180" s="1"/>
    </row>
    <row r="1181" spans="2:15" x14ac:dyDescent="0.3">
      <c r="B1181" s="1"/>
      <c r="C1181" s="1"/>
      <c r="D1181" s="1"/>
      <c r="E1181" s="1"/>
      <c r="F1181" s="1"/>
      <c r="G1181" s="1"/>
      <c r="H1181" s="1"/>
      <c r="I1181" s="1"/>
      <c r="J1181" s="1"/>
      <c r="K1181" s="1"/>
      <c r="L1181" s="1"/>
      <c r="M1181" s="1"/>
      <c r="N1181" s="1"/>
      <c r="O1181" s="1"/>
    </row>
    <row r="1182" spans="2:15" x14ac:dyDescent="0.3">
      <c r="B1182" s="1"/>
      <c r="C1182" s="1"/>
      <c r="D1182" s="1"/>
      <c r="E1182" s="1"/>
      <c r="F1182" s="1"/>
      <c r="G1182" s="1"/>
      <c r="H1182" s="1"/>
      <c r="I1182" s="1"/>
      <c r="J1182" s="1"/>
      <c r="K1182" s="1"/>
      <c r="L1182" s="1"/>
      <c r="M1182" s="1"/>
      <c r="N1182" s="1"/>
      <c r="O1182" s="1"/>
    </row>
    <row r="1183" spans="2:15" x14ac:dyDescent="0.3">
      <c r="B1183" s="1"/>
      <c r="C1183" s="1"/>
      <c r="D1183" s="1"/>
      <c r="E1183" s="1"/>
      <c r="F1183" s="1"/>
      <c r="G1183" s="1"/>
      <c r="H1183" s="1"/>
      <c r="I1183" s="1"/>
      <c r="J1183" s="1"/>
      <c r="K1183" s="1"/>
      <c r="L1183" s="1"/>
      <c r="M1183" s="1"/>
      <c r="N1183" s="1"/>
      <c r="O1183" s="1"/>
    </row>
    <row r="1184" spans="2:15" x14ac:dyDescent="0.3">
      <c r="B1184" s="1"/>
      <c r="C1184" s="1"/>
      <c r="D1184" s="1"/>
      <c r="E1184" s="1"/>
      <c r="F1184" s="1"/>
      <c r="G1184" s="1"/>
      <c r="H1184" s="1"/>
      <c r="I1184" s="1"/>
      <c r="J1184" s="1"/>
      <c r="K1184" s="1"/>
      <c r="L1184" s="1"/>
      <c r="M1184" s="1"/>
      <c r="N1184" s="1"/>
      <c r="O1184" s="1"/>
    </row>
    <row r="1185" spans="2:15" x14ac:dyDescent="0.3">
      <c r="B1185" s="1"/>
      <c r="C1185" s="1"/>
      <c r="D1185" s="1"/>
      <c r="E1185" s="1"/>
      <c r="F1185" s="1"/>
      <c r="G1185" s="1"/>
      <c r="H1185" s="1"/>
      <c r="I1185" s="1"/>
      <c r="J1185" s="1"/>
      <c r="K1185" s="1"/>
      <c r="L1185" s="1"/>
      <c r="M1185" s="1"/>
      <c r="N1185" s="1"/>
      <c r="O1185" s="1"/>
    </row>
    <row r="1186" spans="2:15" x14ac:dyDescent="0.3">
      <c r="B1186" s="1"/>
      <c r="C1186" s="1"/>
      <c r="D1186" s="1"/>
      <c r="E1186" s="1"/>
      <c r="F1186" s="1"/>
      <c r="G1186" s="1"/>
      <c r="H1186" s="1"/>
      <c r="I1186" s="1"/>
      <c r="J1186" s="1"/>
      <c r="K1186" s="1"/>
      <c r="L1186" s="1"/>
      <c r="M1186" s="1"/>
      <c r="N1186" s="1"/>
      <c r="O1186" s="1"/>
    </row>
    <row r="1187" spans="2:15" x14ac:dyDescent="0.3">
      <c r="B1187" s="1"/>
      <c r="C1187" s="1"/>
      <c r="D1187" s="1"/>
      <c r="E1187" s="1"/>
      <c r="F1187" s="1"/>
      <c r="G1187" s="1"/>
      <c r="H1187" s="1"/>
      <c r="I1187" s="1"/>
      <c r="J1187" s="1"/>
      <c r="K1187" s="1"/>
      <c r="L1187" s="1"/>
      <c r="M1187" s="1"/>
      <c r="N1187" s="1"/>
      <c r="O1187" s="1"/>
    </row>
    <row r="1188" spans="2:15" x14ac:dyDescent="0.3">
      <c r="B1188" s="1"/>
      <c r="C1188" s="1"/>
      <c r="D1188" s="1"/>
      <c r="E1188" s="1"/>
      <c r="F1188" s="1"/>
      <c r="G1188" s="1"/>
      <c r="H1188" s="1"/>
      <c r="I1188" s="1"/>
      <c r="J1188" s="1"/>
      <c r="K1188" s="1"/>
      <c r="L1188" s="1"/>
      <c r="M1188" s="1"/>
      <c r="N1188" s="1"/>
      <c r="O1188" s="1"/>
    </row>
    <row r="1189" spans="2:15" x14ac:dyDescent="0.3">
      <c r="B1189" s="1"/>
      <c r="C1189" s="1"/>
      <c r="D1189" s="1"/>
      <c r="E1189" s="1"/>
      <c r="F1189" s="1"/>
      <c r="G1189" s="1"/>
      <c r="H1189" s="1"/>
      <c r="I1189" s="1"/>
      <c r="J1189" s="1"/>
      <c r="K1189" s="1"/>
      <c r="L1189" s="1"/>
      <c r="M1189" s="1"/>
      <c r="N1189" s="1"/>
      <c r="O1189" s="1"/>
    </row>
    <row r="1190" spans="2:15" x14ac:dyDescent="0.3">
      <c r="B1190" s="1"/>
      <c r="C1190" s="1"/>
      <c r="D1190" s="1"/>
      <c r="E1190" s="1"/>
      <c r="F1190" s="1"/>
      <c r="G1190" s="1"/>
      <c r="H1190" s="1"/>
      <c r="I1190" s="1"/>
      <c r="J1190" s="1"/>
      <c r="K1190" s="1"/>
      <c r="L1190" s="1"/>
      <c r="M1190" s="1"/>
      <c r="N1190" s="1"/>
      <c r="O1190" s="1"/>
    </row>
    <row r="1191" spans="2:15" x14ac:dyDescent="0.3">
      <c r="B1191" s="1"/>
      <c r="C1191" s="1"/>
      <c r="D1191" s="1"/>
      <c r="E1191" s="1"/>
      <c r="F1191" s="1"/>
      <c r="G1191" s="1"/>
      <c r="H1191" s="1"/>
      <c r="I1191" s="1"/>
      <c r="J1191" s="1"/>
      <c r="K1191" s="1"/>
      <c r="L1191" s="1"/>
      <c r="M1191" s="1"/>
      <c r="N1191" s="1"/>
      <c r="O1191" s="1"/>
    </row>
    <row r="1192" spans="2:15" x14ac:dyDescent="0.3">
      <c r="B1192" s="1"/>
      <c r="C1192" s="1"/>
      <c r="D1192" s="1"/>
      <c r="E1192" s="1"/>
      <c r="F1192" s="1"/>
      <c r="G1192" s="1"/>
      <c r="H1192" s="1"/>
      <c r="I1192" s="1"/>
      <c r="J1192" s="1"/>
      <c r="K1192" s="1"/>
      <c r="L1192" s="1"/>
      <c r="M1192" s="1"/>
      <c r="N1192" s="1"/>
      <c r="O1192" s="1"/>
    </row>
    <row r="1193" spans="2:15" x14ac:dyDescent="0.3">
      <c r="B1193" s="1"/>
      <c r="C1193" s="1"/>
      <c r="D1193" s="1"/>
      <c r="E1193" s="1"/>
      <c r="F1193" s="1"/>
      <c r="G1193" s="1"/>
      <c r="H1193" s="1"/>
      <c r="I1193" s="1"/>
      <c r="J1193" s="1"/>
      <c r="K1193" s="1"/>
      <c r="L1193" s="1"/>
      <c r="M1193" s="1"/>
      <c r="N1193" s="1"/>
      <c r="O1193" s="1"/>
    </row>
    <row r="1194" spans="2:15" x14ac:dyDescent="0.3">
      <c r="B1194" s="1"/>
      <c r="C1194" s="1"/>
      <c r="D1194" s="1"/>
      <c r="E1194" s="1"/>
      <c r="F1194" s="1"/>
      <c r="G1194" s="1"/>
      <c r="H1194" s="1"/>
      <c r="I1194" s="1"/>
      <c r="J1194" s="1"/>
      <c r="K1194" s="1"/>
      <c r="L1194" s="1"/>
      <c r="M1194" s="1"/>
      <c r="N1194" s="1"/>
      <c r="O1194" s="1"/>
    </row>
    <row r="1195" spans="2:15" x14ac:dyDescent="0.3">
      <c r="B1195" s="1"/>
      <c r="C1195" s="1"/>
      <c r="D1195" s="1"/>
      <c r="E1195" s="1"/>
      <c r="F1195" s="1"/>
      <c r="G1195" s="1"/>
      <c r="H1195" s="1"/>
      <c r="I1195" s="1"/>
      <c r="J1195" s="1"/>
      <c r="K1195" s="1"/>
      <c r="L1195" s="1"/>
      <c r="M1195" s="1"/>
      <c r="N1195" s="1"/>
      <c r="O1195" s="1"/>
    </row>
    <row r="1196" spans="2:15" x14ac:dyDescent="0.3">
      <c r="B1196" s="1"/>
      <c r="C1196" s="1"/>
      <c r="D1196" s="1"/>
      <c r="E1196" s="1"/>
      <c r="F1196" s="1"/>
      <c r="G1196" s="1"/>
      <c r="H1196" s="1"/>
      <c r="I1196" s="1"/>
      <c r="J1196" s="1"/>
      <c r="K1196" s="1"/>
      <c r="L1196" s="1"/>
      <c r="M1196" s="1"/>
      <c r="N1196" s="1"/>
      <c r="O1196" s="1"/>
    </row>
    <row r="1197" spans="2:15" x14ac:dyDescent="0.3">
      <c r="B1197" s="1"/>
      <c r="C1197" s="1"/>
      <c r="D1197" s="1"/>
      <c r="E1197" s="1"/>
      <c r="F1197" s="1"/>
      <c r="G1197" s="1"/>
      <c r="H1197" s="1"/>
      <c r="I1197" s="1"/>
      <c r="J1197" s="1"/>
      <c r="K1197" s="1"/>
      <c r="L1197" s="1"/>
      <c r="M1197" s="1"/>
      <c r="N1197" s="1"/>
      <c r="O1197" s="1"/>
    </row>
    <row r="1198" spans="2:15" x14ac:dyDescent="0.3">
      <c r="B1198" s="1"/>
      <c r="C1198" s="1"/>
      <c r="D1198" s="1"/>
      <c r="E1198" s="1"/>
      <c r="F1198" s="1"/>
      <c r="G1198" s="1"/>
      <c r="H1198" s="1"/>
      <c r="I1198" s="1"/>
      <c r="J1198" s="1"/>
      <c r="K1198" s="1"/>
      <c r="L1198" s="1"/>
      <c r="M1198" s="1"/>
      <c r="N1198" s="1"/>
      <c r="O1198" s="1"/>
    </row>
    <row r="1199" spans="2:15" x14ac:dyDescent="0.3">
      <c r="B1199" s="1"/>
      <c r="C1199" s="1"/>
      <c r="D1199" s="1"/>
      <c r="E1199" s="1"/>
      <c r="F1199" s="1"/>
      <c r="G1199" s="1"/>
      <c r="H1199" s="1"/>
      <c r="I1199" s="1"/>
      <c r="J1199" s="1"/>
      <c r="K1199" s="1"/>
      <c r="L1199" s="1"/>
      <c r="M1199" s="1"/>
      <c r="N1199" s="1"/>
      <c r="O1199" s="1"/>
    </row>
    <row r="1200" spans="2:15" x14ac:dyDescent="0.3">
      <c r="B1200" s="1"/>
      <c r="C1200" s="1"/>
      <c r="D1200" s="1"/>
      <c r="E1200" s="1"/>
      <c r="F1200" s="1"/>
      <c r="G1200" s="1"/>
      <c r="H1200" s="1"/>
      <c r="I1200" s="1"/>
      <c r="J1200" s="1"/>
      <c r="K1200" s="1"/>
      <c r="L1200" s="1"/>
      <c r="M1200" s="1"/>
      <c r="N1200" s="1"/>
      <c r="O1200" s="1"/>
    </row>
    <row r="1201" spans="2:15" x14ac:dyDescent="0.3">
      <c r="B1201" s="1"/>
      <c r="C1201" s="1"/>
      <c r="D1201" s="1"/>
      <c r="E1201" s="1"/>
      <c r="F1201" s="1"/>
      <c r="G1201" s="1"/>
      <c r="H1201" s="1"/>
      <c r="I1201" s="1"/>
      <c r="J1201" s="1"/>
      <c r="K1201" s="1"/>
      <c r="L1201" s="1"/>
      <c r="M1201" s="1"/>
      <c r="N1201" s="1"/>
      <c r="O1201" s="1"/>
    </row>
    <row r="1202" spans="2:15" x14ac:dyDescent="0.3">
      <c r="B1202" s="1"/>
      <c r="C1202" s="1"/>
      <c r="D1202" s="1"/>
      <c r="E1202" s="1"/>
      <c r="F1202" s="1"/>
      <c r="G1202" s="1"/>
      <c r="H1202" s="1"/>
      <c r="I1202" s="1"/>
      <c r="J1202" s="1"/>
      <c r="K1202" s="1"/>
      <c r="L1202" s="1"/>
      <c r="M1202" s="1"/>
      <c r="N1202" s="1"/>
      <c r="O1202" s="1"/>
    </row>
    <row r="1203" spans="2:15" x14ac:dyDescent="0.3">
      <c r="B1203" s="1"/>
      <c r="C1203" s="1"/>
      <c r="D1203" s="1"/>
      <c r="E1203" s="1"/>
      <c r="F1203" s="1"/>
      <c r="G1203" s="1"/>
      <c r="H1203" s="1"/>
      <c r="I1203" s="1"/>
      <c r="J1203" s="1"/>
      <c r="K1203" s="1"/>
      <c r="L1203" s="1"/>
      <c r="M1203" s="1"/>
      <c r="N1203" s="1"/>
      <c r="O1203" s="1"/>
    </row>
    <row r="1204" spans="2:15" x14ac:dyDescent="0.3">
      <c r="B1204" s="1"/>
      <c r="C1204" s="1"/>
      <c r="D1204" s="1"/>
      <c r="E1204" s="1"/>
      <c r="F1204" s="1"/>
      <c r="G1204" s="1"/>
      <c r="H1204" s="1"/>
      <c r="I1204" s="1"/>
      <c r="J1204" s="1"/>
      <c r="K1204" s="1"/>
      <c r="L1204" s="1"/>
      <c r="M1204" s="1"/>
      <c r="N1204" s="1"/>
      <c r="O1204" s="1"/>
    </row>
    <row r="1205" spans="2:15" x14ac:dyDescent="0.3">
      <c r="B1205" s="1"/>
      <c r="C1205" s="1"/>
      <c r="D1205" s="1"/>
      <c r="E1205" s="1"/>
      <c r="F1205" s="1"/>
      <c r="G1205" s="1"/>
      <c r="H1205" s="1"/>
      <c r="I1205" s="1"/>
      <c r="J1205" s="1"/>
      <c r="K1205" s="1"/>
      <c r="L1205" s="1"/>
      <c r="M1205" s="1"/>
      <c r="N1205" s="1"/>
      <c r="O1205" s="1"/>
    </row>
    <row r="1206" spans="2:15" x14ac:dyDescent="0.3">
      <c r="B1206" s="1"/>
      <c r="C1206" s="1"/>
      <c r="D1206" s="1"/>
      <c r="E1206" s="1"/>
      <c r="F1206" s="1"/>
      <c r="G1206" s="1"/>
      <c r="H1206" s="1"/>
      <c r="I1206" s="1"/>
      <c r="J1206" s="1"/>
      <c r="K1206" s="1"/>
      <c r="L1206" s="1"/>
      <c r="M1206" s="1"/>
      <c r="N1206" s="1"/>
      <c r="O1206" s="1"/>
    </row>
    <row r="1207" spans="2:15" x14ac:dyDescent="0.3">
      <c r="B1207" s="1"/>
      <c r="C1207" s="1"/>
      <c r="D1207" s="1"/>
      <c r="E1207" s="1"/>
      <c r="F1207" s="1"/>
      <c r="G1207" s="1"/>
      <c r="H1207" s="1"/>
      <c r="I1207" s="1"/>
      <c r="J1207" s="1"/>
      <c r="K1207" s="1"/>
      <c r="L1207" s="1"/>
      <c r="M1207" s="1"/>
      <c r="N1207" s="1"/>
      <c r="O1207" s="1"/>
    </row>
    <row r="1208" spans="2:15" x14ac:dyDescent="0.3">
      <c r="B1208" s="1"/>
      <c r="C1208" s="1"/>
      <c r="D1208" s="1"/>
      <c r="E1208" s="1"/>
      <c r="F1208" s="1"/>
      <c r="G1208" s="1"/>
      <c r="H1208" s="1"/>
      <c r="I1208" s="1"/>
      <c r="J1208" s="1"/>
      <c r="K1208" s="1"/>
      <c r="L1208" s="1"/>
      <c r="M1208" s="1"/>
      <c r="N1208" s="1"/>
      <c r="O1208" s="1"/>
    </row>
    <row r="1209" spans="2:15" x14ac:dyDescent="0.3">
      <c r="B1209" s="1"/>
      <c r="C1209" s="1"/>
      <c r="D1209" s="1"/>
      <c r="E1209" s="1"/>
      <c r="F1209" s="1"/>
      <c r="G1209" s="1"/>
      <c r="H1209" s="1"/>
      <c r="I1209" s="1"/>
      <c r="J1209" s="1"/>
      <c r="K1209" s="1"/>
      <c r="L1209" s="1"/>
      <c r="M1209" s="1"/>
      <c r="N1209" s="1"/>
      <c r="O1209" s="1"/>
    </row>
    <row r="1210" spans="2:15" x14ac:dyDescent="0.3">
      <c r="B1210" s="1"/>
      <c r="C1210" s="1"/>
      <c r="D1210" s="1"/>
      <c r="E1210" s="1"/>
      <c r="F1210" s="1"/>
      <c r="G1210" s="1"/>
      <c r="H1210" s="1"/>
      <c r="I1210" s="1"/>
      <c r="J1210" s="1"/>
      <c r="K1210" s="1"/>
      <c r="L1210" s="1"/>
      <c r="M1210" s="1"/>
      <c r="N1210" s="1"/>
      <c r="O1210" s="1"/>
    </row>
    <row r="1211" spans="2:15" x14ac:dyDescent="0.3">
      <c r="B1211" s="1"/>
      <c r="C1211" s="1"/>
      <c r="D1211" s="1"/>
      <c r="E1211" s="1"/>
      <c r="F1211" s="1"/>
      <c r="G1211" s="1"/>
      <c r="H1211" s="1"/>
      <c r="I1211" s="1"/>
      <c r="J1211" s="1"/>
      <c r="K1211" s="1"/>
      <c r="L1211" s="1"/>
      <c r="M1211" s="1"/>
      <c r="N1211" s="1"/>
      <c r="O1211" s="1"/>
    </row>
    <row r="1212" spans="2:15" x14ac:dyDescent="0.3">
      <c r="B1212" s="1"/>
      <c r="C1212" s="1"/>
      <c r="D1212" s="1"/>
      <c r="E1212" s="1"/>
      <c r="F1212" s="1"/>
      <c r="G1212" s="1"/>
      <c r="H1212" s="1"/>
      <c r="I1212" s="1"/>
      <c r="J1212" s="1"/>
      <c r="K1212" s="1"/>
      <c r="L1212" s="1"/>
      <c r="M1212" s="1"/>
      <c r="N1212" s="1"/>
      <c r="O1212" s="1"/>
    </row>
    <row r="1213" spans="2:15" x14ac:dyDescent="0.3">
      <c r="B1213" s="1"/>
      <c r="C1213" s="1"/>
      <c r="D1213" s="1"/>
      <c r="E1213" s="1"/>
      <c r="F1213" s="1"/>
      <c r="G1213" s="1"/>
      <c r="H1213" s="1"/>
      <c r="I1213" s="1"/>
      <c r="J1213" s="1"/>
      <c r="K1213" s="1"/>
      <c r="L1213" s="1"/>
      <c r="M1213" s="1"/>
      <c r="N1213" s="1"/>
      <c r="O1213" s="1"/>
    </row>
    <row r="1214" spans="2:15" x14ac:dyDescent="0.3">
      <c r="B1214" s="1"/>
      <c r="C1214" s="1"/>
      <c r="D1214" s="1"/>
      <c r="E1214" s="1"/>
      <c r="F1214" s="1"/>
      <c r="G1214" s="1"/>
      <c r="H1214" s="1"/>
      <c r="I1214" s="1"/>
      <c r="J1214" s="1"/>
      <c r="K1214" s="1"/>
      <c r="L1214" s="1"/>
      <c r="M1214" s="1"/>
      <c r="N1214" s="1"/>
      <c r="O1214" s="1"/>
    </row>
    <row r="1215" spans="2:15" x14ac:dyDescent="0.3">
      <c r="B1215" s="1"/>
      <c r="C1215" s="1"/>
      <c r="D1215" s="1"/>
      <c r="E1215" s="1"/>
      <c r="F1215" s="1"/>
      <c r="G1215" s="1"/>
      <c r="H1215" s="1"/>
      <c r="I1215" s="1"/>
      <c r="J1215" s="1"/>
      <c r="K1215" s="1"/>
      <c r="L1215" s="1"/>
      <c r="M1215" s="1"/>
      <c r="N1215" s="1"/>
      <c r="O1215" s="1"/>
    </row>
    <row r="1216" spans="2:15" x14ac:dyDescent="0.3">
      <c r="B1216" s="1"/>
      <c r="C1216" s="1"/>
      <c r="D1216" s="1"/>
      <c r="E1216" s="1"/>
      <c r="F1216" s="1"/>
      <c r="G1216" s="1"/>
      <c r="H1216" s="1"/>
      <c r="I1216" s="1"/>
      <c r="J1216" s="1"/>
      <c r="K1216" s="1"/>
      <c r="L1216" s="1"/>
      <c r="M1216" s="1"/>
      <c r="N1216" s="1"/>
      <c r="O1216" s="1"/>
    </row>
    <row r="1217" spans="2:15" x14ac:dyDescent="0.3">
      <c r="B1217" s="1"/>
      <c r="C1217" s="1"/>
      <c r="D1217" s="1"/>
      <c r="E1217" s="1"/>
      <c r="F1217" s="1"/>
      <c r="G1217" s="1"/>
      <c r="H1217" s="1"/>
      <c r="I1217" s="1"/>
      <c r="J1217" s="1"/>
      <c r="K1217" s="1"/>
      <c r="L1217" s="1"/>
      <c r="M1217" s="1"/>
      <c r="N1217" s="1"/>
      <c r="O1217" s="1"/>
    </row>
    <row r="1218" spans="2:15" x14ac:dyDescent="0.3">
      <c r="B1218" s="1"/>
      <c r="C1218" s="1"/>
      <c r="D1218" s="1"/>
      <c r="E1218" s="1"/>
      <c r="F1218" s="1"/>
      <c r="G1218" s="1"/>
      <c r="H1218" s="1"/>
      <c r="I1218" s="1"/>
      <c r="J1218" s="1"/>
      <c r="K1218" s="1"/>
      <c r="L1218" s="1"/>
      <c r="M1218" s="1"/>
      <c r="N1218" s="1"/>
      <c r="O1218" s="1"/>
    </row>
    <row r="1219" spans="2:15" x14ac:dyDescent="0.3">
      <c r="B1219" s="1"/>
      <c r="C1219" s="1"/>
      <c r="D1219" s="1"/>
      <c r="E1219" s="1"/>
      <c r="F1219" s="1"/>
      <c r="G1219" s="1"/>
      <c r="H1219" s="1"/>
      <c r="I1219" s="1"/>
      <c r="J1219" s="1"/>
      <c r="K1219" s="1"/>
      <c r="L1219" s="1"/>
      <c r="M1219" s="1"/>
      <c r="N1219" s="1"/>
      <c r="O1219" s="1"/>
    </row>
    <row r="1220" spans="2:15" x14ac:dyDescent="0.3">
      <c r="B1220" s="1"/>
      <c r="C1220" s="1"/>
      <c r="D1220" s="1"/>
      <c r="E1220" s="1"/>
      <c r="F1220" s="1"/>
      <c r="G1220" s="1"/>
      <c r="H1220" s="1"/>
      <c r="I1220" s="1"/>
      <c r="J1220" s="1"/>
      <c r="K1220" s="1"/>
      <c r="L1220" s="1"/>
      <c r="M1220" s="1"/>
      <c r="N1220" s="1"/>
      <c r="O1220" s="1"/>
    </row>
    <row r="1221" spans="2:15" x14ac:dyDescent="0.3">
      <c r="B1221" s="1"/>
      <c r="C1221" s="1"/>
      <c r="D1221" s="1"/>
      <c r="E1221" s="1"/>
      <c r="F1221" s="1"/>
      <c r="G1221" s="1"/>
      <c r="H1221" s="1"/>
      <c r="I1221" s="1"/>
      <c r="J1221" s="1"/>
      <c r="K1221" s="1"/>
      <c r="L1221" s="1"/>
      <c r="M1221" s="1"/>
      <c r="N1221" s="1"/>
      <c r="O1221" s="1"/>
    </row>
    <row r="1222" spans="2:15" x14ac:dyDescent="0.3">
      <c r="B1222" s="1"/>
      <c r="C1222" s="1"/>
      <c r="D1222" s="1"/>
      <c r="E1222" s="1"/>
      <c r="F1222" s="1"/>
      <c r="G1222" s="1"/>
      <c r="H1222" s="1"/>
      <c r="I1222" s="1"/>
      <c r="J1222" s="1"/>
      <c r="K1222" s="1"/>
      <c r="L1222" s="1"/>
      <c r="M1222" s="1"/>
      <c r="N1222" s="1"/>
      <c r="O1222" s="1"/>
    </row>
    <row r="1223" spans="2:15" x14ac:dyDescent="0.3">
      <c r="B1223" s="1"/>
      <c r="C1223" s="1"/>
      <c r="D1223" s="1"/>
      <c r="E1223" s="1"/>
      <c r="F1223" s="1"/>
      <c r="G1223" s="1"/>
      <c r="H1223" s="1"/>
      <c r="I1223" s="1"/>
      <c r="J1223" s="1"/>
      <c r="K1223" s="1"/>
      <c r="L1223" s="1"/>
      <c r="M1223" s="1"/>
      <c r="N1223" s="1"/>
      <c r="O1223" s="1"/>
    </row>
    <row r="1224" spans="2:15" x14ac:dyDescent="0.3">
      <c r="B1224" s="1"/>
      <c r="C1224" s="1"/>
      <c r="D1224" s="1"/>
      <c r="E1224" s="1"/>
      <c r="F1224" s="1"/>
      <c r="G1224" s="1"/>
      <c r="H1224" s="1"/>
      <c r="I1224" s="1"/>
      <c r="J1224" s="1"/>
      <c r="K1224" s="1"/>
      <c r="L1224" s="1"/>
      <c r="M1224" s="1"/>
      <c r="N1224" s="1"/>
      <c r="O1224" s="1"/>
    </row>
    <row r="1225" spans="2:15" x14ac:dyDescent="0.3">
      <c r="B1225" s="1"/>
      <c r="C1225" s="1"/>
      <c r="D1225" s="1"/>
      <c r="E1225" s="1"/>
      <c r="F1225" s="1"/>
      <c r="G1225" s="1"/>
      <c r="H1225" s="1"/>
      <c r="I1225" s="1"/>
      <c r="J1225" s="1"/>
      <c r="K1225" s="1"/>
      <c r="L1225" s="1"/>
      <c r="M1225" s="1"/>
      <c r="N1225" s="1"/>
      <c r="O1225" s="1"/>
    </row>
    <row r="1226" spans="2:15" x14ac:dyDescent="0.3">
      <c r="B1226" s="1"/>
      <c r="C1226" s="1"/>
      <c r="D1226" s="1"/>
      <c r="E1226" s="1"/>
      <c r="F1226" s="1"/>
      <c r="G1226" s="1"/>
      <c r="H1226" s="1"/>
      <c r="I1226" s="1"/>
      <c r="J1226" s="1"/>
      <c r="K1226" s="1"/>
      <c r="L1226" s="1"/>
      <c r="M1226" s="1"/>
      <c r="N1226" s="1"/>
      <c r="O1226" s="1"/>
    </row>
    <row r="1227" spans="2:15" x14ac:dyDescent="0.3">
      <c r="B1227" s="1"/>
      <c r="C1227" s="1"/>
      <c r="D1227" s="1"/>
      <c r="E1227" s="1"/>
      <c r="F1227" s="1"/>
      <c r="G1227" s="1"/>
      <c r="H1227" s="1"/>
      <c r="I1227" s="1"/>
      <c r="J1227" s="1"/>
      <c r="K1227" s="1"/>
      <c r="L1227" s="1"/>
      <c r="M1227" s="1"/>
      <c r="N1227" s="1"/>
      <c r="O1227" s="1"/>
    </row>
    <row r="1228" spans="2:15" x14ac:dyDescent="0.3">
      <c r="B1228" s="1"/>
      <c r="C1228" s="1"/>
      <c r="D1228" s="1"/>
      <c r="E1228" s="1"/>
      <c r="F1228" s="1"/>
      <c r="G1228" s="1"/>
      <c r="H1228" s="1"/>
      <c r="I1228" s="1"/>
      <c r="J1228" s="1"/>
      <c r="K1228" s="1"/>
      <c r="L1228" s="1"/>
      <c r="M1228" s="1"/>
      <c r="N1228" s="1"/>
      <c r="O1228" s="1"/>
    </row>
    <row r="1229" spans="2:15" x14ac:dyDescent="0.3">
      <c r="B1229" s="1"/>
      <c r="C1229" s="1"/>
      <c r="D1229" s="1"/>
      <c r="E1229" s="1"/>
      <c r="F1229" s="1"/>
      <c r="G1229" s="1"/>
      <c r="H1229" s="1"/>
      <c r="I1229" s="1"/>
      <c r="J1229" s="1"/>
      <c r="K1229" s="1"/>
      <c r="L1229" s="1"/>
      <c r="M1229" s="1"/>
      <c r="N1229" s="1"/>
      <c r="O1229" s="1"/>
    </row>
    <row r="1230" spans="2:15" x14ac:dyDescent="0.3">
      <c r="B1230" s="1"/>
      <c r="C1230" s="1"/>
      <c r="D1230" s="1"/>
      <c r="E1230" s="1"/>
      <c r="F1230" s="1"/>
      <c r="G1230" s="1"/>
      <c r="H1230" s="1"/>
      <c r="I1230" s="1"/>
      <c r="J1230" s="1"/>
      <c r="K1230" s="1"/>
      <c r="L1230" s="1"/>
      <c r="M1230" s="1"/>
      <c r="N1230" s="1"/>
      <c r="O1230" s="1"/>
    </row>
    <row r="1231" spans="2:15" x14ac:dyDescent="0.3">
      <c r="B1231" s="1"/>
      <c r="C1231" s="1"/>
      <c r="D1231" s="1"/>
      <c r="E1231" s="1"/>
      <c r="F1231" s="1"/>
      <c r="G1231" s="1"/>
      <c r="H1231" s="1"/>
      <c r="I1231" s="1"/>
      <c r="J1231" s="1"/>
      <c r="K1231" s="1"/>
      <c r="L1231" s="1"/>
      <c r="M1231" s="1"/>
      <c r="N1231" s="1"/>
      <c r="O1231" s="1"/>
    </row>
    <row r="1232" spans="2:15" x14ac:dyDescent="0.3">
      <c r="B1232" s="1"/>
      <c r="C1232" s="1"/>
      <c r="D1232" s="1"/>
      <c r="E1232" s="1"/>
      <c r="F1232" s="1"/>
      <c r="G1232" s="1"/>
      <c r="H1232" s="1"/>
      <c r="I1232" s="1"/>
      <c r="J1232" s="1"/>
      <c r="K1232" s="1"/>
      <c r="L1232" s="1"/>
      <c r="M1232" s="1"/>
      <c r="N1232" s="1"/>
      <c r="O1232" s="1"/>
    </row>
    <row r="1233" spans="2:15" x14ac:dyDescent="0.3">
      <c r="B1233" s="1"/>
      <c r="C1233" s="1"/>
      <c r="D1233" s="1"/>
      <c r="E1233" s="1"/>
      <c r="F1233" s="1"/>
      <c r="G1233" s="1"/>
      <c r="H1233" s="1"/>
      <c r="I1233" s="1"/>
      <c r="J1233" s="1"/>
      <c r="K1233" s="1"/>
      <c r="L1233" s="1"/>
      <c r="M1233" s="1"/>
      <c r="N1233" s="1"/>
      <c r="O1233" s="1"/>
    </row>
    <row r="1234" spans="2:15" x14ac:dyDescent="0.3">
      <c r="B1234" s="1"/>
      <c r="C1234" s="1"/>
      <c r="D1234" s="1"/>
      <c r="E1234" s="1"/>
      <c r="F1234" s="1"/>
      <c r="G1234" s="1"/>
      <c r="H1234" s="1"/>
      <c r="I1234" s="1"/>
      <c r="J1234" s="1"/>
      <c r="K1234" s="1"/>
      <c r="L1234" s="1"/>
      <c r="M1234" s="1"/>
      <c r="N1234" s="1"/>
      <c r="O1234" s="1"/>
    </row>
    <row r="1235" spans="2:15" x14ac:dyDescent="0.3">
      <c r="B1235" s="1"/>
      <c r="C1235" s="1"/>
      <c r="D1235" s="1"/>
      <c r="E1235" s="1"/>
      <c r="F1235" s="1"/>
      <c r="G1235" s="1"/>
      <c r="H1235" s="1"/>
      <c r="I1235" s="1"/>
      <c r="J1235" s="1"/>
      <c r="K1235" s="1"/>
      <c r="L1235" s="1"/>
      <c r="M1235" s="1"/>
      <c r="N1235" s="1"/>
      <c r="O1235" s="1"/>
    </row>
    <row r="1236" spans="2:15" x14ac:dyDescent="0.3">
      <c r="B1236" s="1"/>
      <c r="C1236" s="1"/>
      <c r="D1236" s="1"/>
      <c r="E1236" s="1"/>
      <c r="F1236" s="1"/>
      <c r="G1236" s="1"/>
      <c r="H1236" s="1"/>
      <c r="I1236" s="1"/>
      <c r="J1236" s="1"/>
      <c r="K1236" s="1"/>
      <c r="L1236" s="1"/>
      <c r="M1236" s="1"/>
      <c r="N1236" s="1"/>
      <c r="O1236" s="1"/>
    </row>
    <row r="1237" spans="2:15" x14ac:dyDescent="0.3">
      <c r="B1237" s="1"/>
      <c r="C1237" s="1"/>
      <c r="D1237" s="1"/>
      <c r="E1237" s="1"/>
      <c r="F1237" s="1"/>
      <c r="G1237" s="1"/>
      <c r="H1237" s="1"/>
      <c r="I1237" s="1"/>
      <c r="J1237" s="1"/>
      <c r="K1237" s="1"/>
      <c r="L1237" s="1"/>
      <c r="M1237" s="1"/>
      <c r="N1237" s="1"/>
      <c r="O1237" s="1"/>
    </row>
    <row r="1238" spans="2:15" x14ac:dyDescent="0.3">
      <c r="B1238" s="1"/>
      <c r="C1238" s="1"/>
      <c r="D1238" s="1"/>
      <c r="E1238" s="1"/>
      <c r="F1238" s="1"/>
      <c r="G1238" s="1"/>
      <c r="H1238" s="1"/>
      <c r="I1238" s="1"/>
      <c r="J1238" s="1"/>
      <c r="K1238" s="1"/>
      <c r="L1238" s="1"/>
      <c r="M1238" s="1"/>
      <c r="N1238" s="1"/>
      <c r="O1238" s="1"/>
    </row>
    <row r="1239" spans="2:15" x14ac:dyDescent="0.3">
      <c r="B1239" s="1"/>
      <c r="C1239" s="1"/>
      <c r="D1239" s="1"/>
      <c r="E1239" s="1"/>
      <c r="F1239" s="1"/>
      <c r="G1239" s="1"/>
      <c r="H1239" s="1"/>
      <c r="I1239" s="1"/>
      <c r="J1239" s="1"/>
      <c r="K1239" s="1"/>
      <c r="L1239" s="1"/>
      <c r="M1239" s="1"/>
      <c r="N1239" s="1"/>
      <c r="O1239" s="1"/>
    </row>
    <row r="1240" spans="2:15" x14ac:dyDescent="0.3">
      <c r="B1240" s="1"/>
      <c r="C1240" s="1"/>
      <c r="D1240" s="1"/>
      <c r="E1240" s="1"/>
      <c r="F1240" s="1"/>
      <c r="G1240" s="1"/>
      <c r="H1240" s="1"/>
      <c r="I1240" s="1"/>
      <c r="J1240" s="1"/>
      <c r="K1240" s="1"/>
      <c r="L1240" s="1"/>
      <c r="M1240" s="1"/>
      <c r="N1240" s="1"/>
      <c r="O1240" s="1"/>
    </row>
    <row r="1241" spans="2:15" x14ac:dyDescent="0.3">
      <c r="B1241" s="1"/>
      <c r="C1241" s="1"/>
      <c r="D1241" s="1"/>
      <c r="E1241" s="1"/>
      <c r="F1241" s="1"/>
      <c r="G1241" s="1"/>
      <c r="H1241" s="1"/>
      <c r="I1241" s="1"/>
      <c r="J1241" s="1"/>
      <c r="K1241" s="1"/>
      <c r="L1241" s="1"/>
      <c r="M1241" s="1"/>
      <c r="N1241" s="1"/>
      <c r="O1241" s="1"/>
    </row>
    <row r="1242" spans="2:15" x14ac:dyDescent="0.3">
      <c r="B1242" s="1"/>
      <c r="C1242" s="1"/>
      <c r="D1242" s="1"/>
      <c r="E1242" s="1"/>
      <c r="F1242" s="1"/>
      <c r="G1242" s="1"/>
      <c r="H1242" s="1"/>
      <c r="I1242" s="1"/>
      <c r="J1242" s="1"/>
      <c r="K1242" s="1"/>
      <c r="L1242" s="1"/>
      <c r="M1242" s="1"/>
      <c r="N1242" s="1"/>
      <c r="O1242" s="1"/>
    </row>
    <row r="1243" spans="2:15" x14ac:dyDescent="0.3">
      <c r="B1243" s="1"/>
      <c r="C1243" s="1"/>
      <c r="D1243" s="1"/>
      <c r="E1243" s="1"/>
      <c r="F1243" s="1"/>
      <c r="G1243" s="1"/>
      <c r="H1243" s="1"/>
      <c r="I1243" s="1"/>
      <c r="J1243" s="1"/>
      <c r="K1243" s="1"/>
      <c r="L1243" s="1"/>
      <c r="M1243" s="1"/>
      <c r="N1243" s="1"/>
      <c r="O1243" s="1"/>
    </row>
    <row r="1244" spans="2:15" x14ac:dyDescent="0.3">
      <c r="B1244" s="1"/>
      <c r="C1244" s="1"/>
      <c r="D1244" s="1"/>
      <c r="E1244" s="1"/>
      <c r="F1244" s="1"/>
      <c r="G1244" s="1"/>
      <c r="H1244" s="1"/>
      <c r="I1244" s="1"/>
      <c r="J1244" s="1"/>
      <c r="K1244" s="1"/>
      <c r="L1244" s="1"/>
      <c r="M1244" s="1"/>
      <c r="N1244" s="1"/>
      <c r="O1244" s="1"/>
    </row>
    <row r="1245" spans="2:15" x14ac:dyDescent="0.3">
      <c r="B1245" s="1"/>
      <c r="C1245" s="1"/>
      <c r="D1245" s="1"/>
      <c r="E1245" s="1"/>
      <c r="F1245" s="1"/>
      <c r="G1245" s="1"/>
      <c r="H1245" s="1"/>
      <c r="I1245" s="1"/>
      <c r="J1245" s="1"/>
      <c r="K1245" s="1"/>
      <c r="L1245" s="1"/>
      <c r="M1245" s="1"/>
      <c r="N1245" s="1"/>
      <c r="O1245" s="1"/>
    </row>
    <row r="1246" spans="2:15" x14ac:dyDescent="0.3">
      <c r="B1246" s="1"/>
      <c r="C1246" s="1"/>
      <c r="D1246" s="1"/>
      <c r="E1246" s="1"/>
      <c r="F1246" s="1"/>
      <c r="G1246" s="1"/>
      <c r="H1246" s="1"/>
      <c r="I1246" s="1"/>
      <c r="J1246" s="1"/>
      <c r="K1246" s="1"/>
      <c r="L1246" s="1"/>
      <c r="M1246" s="1"/>
      <c r="N1246" s="1"/>
      <c r="O1246" s="1"/>
    </row>
    <row r="1247" spans="2:15" x14ac:dyDescent="0.3">
      <c r="B1247" s="1"/>
      <c r="C1247" s="1"/>
      <c r="D1247" s="1"/>
      <c r="E1247" s="1"/>
      <c r="F1247" s="1"/>
      <c r="G1247" s="1"/>
      <c r="H1247" s="1"/>
      <c r="I1247" s="1"/>
      <c r="J1247" s="1"/>
      <c r="K1247" s="1"/>
      <c r="L1247" s="1"/>
      <c r="M1247" s="1"/>
      <c r="N1247" s="1"/>
      <c r="O1247" s="1"/>
    </row>
    <row r="1248" spans="2:15" x14ac:dyDescent="0.3">
      <c r="B1248" s="1"/>
      <c r="C1248" s="1"/>
      <c r="D1248" s="1"/>
      <c r="E1248" s="1"/>
      <c r="F1248" s="1"/>
      <c r="G1248" s="1"/>
      <c r="H1248" s="1"/>
      <c r="I1248" s="1"/>
      <c r="J1248" s="1"/>
      <c r="K1248" s="1"/>
      <c r="L1248" s="1"/>
      <c r="M1248" s="1"/>
      <c r="N1248" s="1"/>
      <c r="O1248" s="1"/>
    </row>
    <row r="1249" spans="2:15" x14ac:dyDescent="0.3">
      <c r="B1249" s="1"/>
      <c r="C1249" s="1"/>
      <c r="D1249" s="1"/>
      <c r="E1249" s="1"/>
      <c r="F1249" s="1"/>
      <c r="G1249" s="1"/>
      <c r="H1249" s="1"/>
      <c r="I1249" s="1"/>
      <c r="J1249" s="1"/>
      <c r="K1249" s="1"/>
      <c r="L1249" s="1"/>
      <c r="M1249" s="1"/>
      <c r="N1249" s="1"/>
      <c r="O1249" s="1"/>
    </row>
    <row r="1250" spans="2:15" x14ac:dyDescent="0.3">
      <c r="B1250" s="1"/>
      <c r="C1250" s="1"/>
      <c r="D1250" s="1"/>
      <c r="E1250" s="1"/>
      <c r="F1250" s="1"/>
      <c r="G1250" s="1"/>
      <c r="H1250" s="1"/>
      <c r="I1250" s="1"/>
      <c r="J1250" s="1"/>
      <c r="K1250" s="1"/>
      <c r="L1250" s="1"/>
      <c r="M1250" s="1"/>
      <c r="N1250" s="1"/>
      <c r="O1250" s="1"/>
    </row>
    <row r="1251" spans="2:15" x14ac:dyDescent="0.3">
      <c r="B1251" s="1"/>
      <c r="C1251" s="1"/>
      <c r="D1251" s="1"/>
      <c r="E1251" s="1"/>
      <c r="F1251" s="1"/>
      <c r="G1251" s="1"/>
      <c r="H1251" s="1"/>
      <c r="I1251" s="1"/>
      <c r="J1251" s="1"/>
      <c r="K1251" s="1"/>
      <c r="L1251" s="1"/>
      <c r="M1251" s="1"/>
      <c r="N1251" s="1"/>
      <c r="O1251" s="1"/>
    </row>
    <row r="1252" spans="2:15" x14ac:dyDescent="0.3">
      <c r="B1252" s="1"/>
      <c r="C1252" s="1"/>
      <c r="D1252" s="1"/>
      <c r="E1252" s="1"/>
      <c r="F1252" s="1"/>
      <c r="G1252" s="1"/>
      <c r="H1252" s="1"/>
      <c r="I1252" s="1"/>
      <c r="J1252" s="1"/>
      <c r="K1252" s="1"/>
      <c r="L1252" s="1"/>
      <c r="M1252" s="1"/>
      <c r="N1252" s="1"/>
      <c r="O1252" s="1"/>
    </row>
    <row r="1253" spans="2:15" x14ac:dyDescent="0.3">
      <c r="B1253" s="1"/>
      <c r="C1253" s="1"/>
      <c r="D1253" s="1"/>
      <c r="E1253" s="1"/>
      <c r="F1253" s="1"/>
      <c r="G1253" s="1"/>
      <c r="H1253" s="1"/>
      <c r="I1253" s="1"/>
      <c r="J1253" s="1"/>
      <c r="K1253" s="1"/>
      <c r="L1253" s="1"/>
      <c r="M1253" s="1"/>
      <c r="N1253" s="1"/>
      <c r="O1253" s="1"/>
    </row>
    <row r="1254" spans="2:15" x14ac:dyDescent="0.3">
      <c r="B1254" s="1"/>
      <c r="C1254" s="1"/>
      <c r="D1254" s="1"/>
      <c r="E1254" s="1"/>
      <c r="F1254" s="1"/>
      <c r="G1254" s="1"/>
      <c r="H1254" s="1"/>
      <c r="I1254" s="1"/>
      <c r="J1254" s="1"/>
      <c r="K1254" s="1"/>
      <c r="L1254" s="1"/>
      <c r="M1254" s="1"/>
      <c r="N1254" s="1"/>
      <c r="O1254" s="1"/>
    </row>
    <row r="1255" spans="2:15" x14ac:dyDescent="0.3">
      <c r="B1255" s="1"/>
      <c r="C1255" s="1"/>
      <c r="D1255" s="1"/>
      <c r="E1255" s="1"/>
      <c r="F1255" s="1"/>
      <c r="G1255" s="1"/>
      <c r="H1255" s="1"/>
      <c r="I1255" s="1"/>
      <c r="J1255" s="1"/>
      <c r="K1255" s="1"/>
      <c r="L1255" s="1"/>
      <c r="M1255" s="1"/>
      <c r="N1255" s="1"/>
      <c r="O1255" s="1"/>
    </row>
    <row r="1256" spans="2:15" x14ac:dyDescent="0.3">
      <c r="B1256" s="1"/>
      <c r="C1256" s="1"/>
      <c r="D1256" s="1"/>
      <c r="E1256" s="1"/>
      <c r="F1256" s="1"/>
      <c r="G1256" s="1"/>
      <c r="H1256" s="1"/>
      <c r="I1256" s="1"/>
      <c r="J1256" s="1"/>
      <c r="K1256" s="1"/>
      <c r="L1256" s="1"/>
      <c r="M1256" s="1"/>
      <c r="N1256" s="1"/>
      <c r="O1256" s="1"/>
    </row>
    <row r="1257" spans="2:15" x14ac:dyDescent="0.3">
      <c r="B1257" s="1"/>
      <c r="C1257" s="1"/>
      <c r="D1257" s="1"/>
      <c r="E1257" s="1"/>
      <c r="F1257" s="1"/>
      <c r="G1257" s="1"/>
      <c r="H1257" s="1"/>
      <c r="I1257" s="1"/>
      <c r="J1257" s="1"/>
      <c r="K1257" s="1"/>
      <c r="L1257" s="1"/>
      <c r="M1257" s="1"/>
      <c r="N1257" s="1"/>
      <c r="O1257" s="1"/>
    </row>
    <row r="1258" spans="2:15" x14ac:dyDescent="0.3">
      <c r="B1258" s="1"/>
      <c r="C1258" s="1"/>
      <c r="D1258" s="1"/>
      <c r="E1258" s="1"/>
      <c r="F1258" s="1"/>
      <c r="G1258" s="1"/>
      <c r="H1258" s="1"/>
      <c r="I1258" s="1"/>
      <c r="J1258" s="1"/>
      <c r="K1258" s="1"/>
      <c r="L1258" s="1"/>
      <c r="M1258" s="1"/>
      <c r="N1258" s="1"/>
      <c r="O1258" s="1"/>
    </row>
    <row r="1259" spans="2:15" x14ac:dyDescent="0.3">
      <c r="B1259" s="1"/>
      <c r="C1259" s="1"/>
      <c r="D1259" s="1"/>
      <c r="E1259" s="1"/>
      <c r="F1259" s="1"/>
      <c r="G1259" s="1"/>
      <c r="H1259" s="1"/>
      <c r="I1259" s="1"/>
      <c r="J1259" s="1"/>
      <c r="K1259" s="1"/>
      <c r="L1259" s="1"/>
      <c r="M1259" s="1"/>
      <c r="N1259" s="1"/>
      <c r="O1259" s="1"/>
    </row>
    <row r="1260" spans="2:15" x14ac:dyDescent="0.3">
      <c r="B1260" s="1"/>
      <c r="C1260" s="1"/>
      <c r="D1260" s="1"/>
      <c r="E1260" s="1"/>
      <c r="F1260" s="1"/>
      <c r="G1260" s="1"/>
      <c r="H1260" s="1"/>
      <c r="I1260" s="1"/>
      <c r="J1260" s="1"/>
      <c r="K1260" s="1"/>
      <c r="L1260" s="1"/>
      <c r="M1260" s="1"/>
      <c r="N1260" s="1"/>
      <c r="O1260" s="1"/>
    </row>
    <row r="1261" spans="2:15" x14ac:dyDescent="0.3">
      <c r="B1261" s="1"/>
      <c r="C1261" s="1"/>
      <c r="D1261" s="1"/>
      <c r="E1261" s="1"/>
      <c r="F1261" s="1"/>
      <c r="G1261" s="1"/>
      <c r="H1261" s="1"/>
      <c r="I1261" s="1"/>
      <c r="J1261" s="1"/>
      <c r="K1261" s="1"/>
      <c r="L1261" s="1"/>
      <c r="M1261" s="1"/>
      <c r="N1261" s="1"/>
      <c r="O1261" s="1"/>
    </row>
    <row r="1262" spans="2:15" x14ac:dyDescent="0.3">
      <c r="B1262" s="1"/>
      <c r="C1262" s="1"/>
      <c r="D1262" s="1"/>
      <c r="E1262" s="1"/>
      <c r="F1262" s="1"/>
      <c r="G1262" s="1"/>
      <c r="H1262" s="1"/>
      <c r="I1262" s="1"/>
      <c r="J1262" s="1"/>
      <c r="K1262" s="1"/>
      <c r="L1262" s="1"/>
      <c r="M1262" s="1"/>
      <c r="N1262" s="1"/>
      <c r="O1262" s="1"/>
    </row>
    <row r="1263" spans="2:15" x14ac:dyDescent="0.3">
      <c r="B1263" s="1"/>
      <c r="C1263" s="1"/>
      <c r="D1263" s="1"/>
      <c r="E1263" s="1"/>
      <c r="F1263" s="1"/>
      <c r="G1263" s="1"/>
      <c r="H1263" s="1"/>
      <c r="I1263" s="1"/>
      <c r="J1263" s="1"/>
      <c r="K1263" s="1"/>
      <c r="L1263" s="1"/>
      <c r="M1263" s="1"/>
      <c r="N1263" s="1"/>
      <c r="O1263" s="1"/>
    </row>
    <row r="1264" spans="2:15" x14ac:dyDescent="0.3">
      <c r="B1264" s="1"/>
      <c r="C1264" s="1"/>
      <c r="D1264" s="1"/>
      <c r="E1264" s="1"/>
      <c r="F1264" s="1"/>
      <c r="G1264" s="1"/>
      <c r="H1264" s="1"/>
      <c r="I1264" s="1"/>
      <c r="J1264" s="1"/>
      <c r="K1264" s="1"/>
      <c r="L1264" s="1"/>
      <c r="M1264" s="1"/>
      <c r="N1264" s="1"/>
      <c r="O1264" s="1"/>
    </row>
    <row r="1265" spans="2:15" x14ac:dyDescent="0.3">
      <c r="B1265" s="1"/>
      <c r="C1265" s="1"/>
      <c r="D1265" s="1"/>
      <c r="E1265" s="1"/>
      <c r="F1265" s="1"/>
      <c r="G1265" s="1"/>
      <c r="H1265" s="1"/>
      <c r="I1265" s="1"/>
      <c r="J1265" s="1"/>
      <c r="K1265" s="1"/>
      <c r="L1265" s="1"/>
      <c r="M1265" s="1"/>
      <c r="N1265" s="1"/>
      <c r="O1265" s="1"/>
    </row>
    <row r="1266" spans="2:15" x14ac:dyDescent="0.3">
      <c r="B1266" s="1"/>
      <c r="C1266" s="1"/>
      <c r="D1266" s="1"/>
      <c r="E1266" s="1"/>
      <c r="F1266" s="1"/>
      <c r="G1266" s="1"/>
      <c r="H1266" s="1"/>
      <c r="I1266" s="1"/>
      <c r="J1266" s="1"/>
      <c r="K1266" s="1"/>
      <c r="L1266" s="1"/>
      <c r="M1266" s="1"/>
      <c r="N1266" s="1"/>
      <c r="O1266" s="1"/>
    </row>
    <row r="1267" spans="2:15" x14ac:dyDescent="0.3">
      <c r="B1267" s="1"/>
      <c r="C1267" s="1"/>
      <c r="D1267" s="1"/>
      <c r="E1267" s="1"/>
      <c r="F1267" s="1"/>
      <c r="G1267" s="1"/>
      <c r="H1267" s="1"/>
      <c r="I1267" s="1"/>
      <c r="J1267" s="1"/>
      <c r="K1267" s="1"/>
      <c r="L1267" s="1"/>
      <c r="M1267" s="1"/>
      <c r="N1267" s="1"/>
      <c r="O1267" s="1"/>
    </row>
    <row r="1268" spans="2:15" x14ac:dyDescent="0.3">
      <c r="B1268" s="1"/>
      <c r="C1268" s="1"/>
      <c r="D1268" s="1"/>
      <c r="E1268" s="1"/>
      <c r="F1268" s="1"/>
      <c r="G1268" s="1"/>
      <c r="H1268" s="1"/>
      <c r="I1268" s="1"/>
      <c r="J1268" s="1"/>
      <c r="K1268" s="1"/>
      <c r="L1268" s="1"/>
      <c r="M1268" s="1"/>
      <c r="N1268" s="1"/>
      <c r="O1268" s="1"/>
    </row>
    <row r="1269" spans="2:15" x14ac:dyDescent="0.3">
      <c r="B1269" s="1"/>
      <c r="C1269" s="1"/>
      <c r="D1269" s="1"/>
      <c r="E1269" s="1"/>
      <c r="F1269" s="1"/>
      <c r="G1269" s="1"/>
      <c r="H1269" s="1"/>
      <c r="I1269" s="1"/>
      <c r="J1269" s="1"/>
      <c r="K1269" s="1"/>
      <c r="L1269" s="1"/>
      <c r="M1269" s="1"/>
      <c r="N1269" s="1"/>
      <c r="O1269" s="1"/>
    </row>
    <row r="1270" spans="2:15" x14ac:dyDescent="0.3">
      <c r="B1270" s="1"/>
      <c r="C1270" s="1"/>
      <c r="D1270" s="1"/>
      <c r="E1270" s="1"/>
      <c r="F1270" s="1"/>
      <c r="G1270" s="1"/>
      <c r="H1270" s="1"/>
      <c r="I1270" s="1"/>
      <c r="J1270" s="1"/>
      <c r="K1270" s="1"/>
      <c r="L1270" s="1"/>
      <c r="M1270" s="1"/>
      <c r="N1270" s="1"/>
      <c r="O1270" s="1"/>
    </row>
    <row r="1271" spans="2:15" x14ac:dyDescent="0.3">
      <c r="B1271" s="1"/>
      <c r="C1271" s="1"/>
      <c r="D1271" s="1"/>
      <c r="E1271" s="1"/>
      <c r="F1271" s="1"/>
      <c r="G1271" s="1"/>
      <c r="H1271" s="1"/>
      <c r="I1271" s="1"/>
      <c r="J1271" s="1"/>
      <c r="K1271" s="1"/>
      <c r="L1271" s="1"/>
      <c r="M1271" s="1"/>
      <c r="N1271" s="1"/>
      <c r="O1271" s="1"/>
    </row>
    <row r="1272" spans="2:15" x14ac:dyDescent="0.3">
      <c r="B1272" s="1"/>
      <c r="C1272" s="1"/>
      <c r="D1272" s="1"/>
      <c r="E1272" s="1"/>
      <c r="F1272" s="1"/>
      <c r="G1272" s="1"/>
      <c r="H1272" s="1"/>
      <c r="I1272" s="1"/>
      <c r="J1272" s="1"/>
      <c r="K1272" s="1"/>
      <c r="L1272" s="1"/>
      <c r="M1272" s="1"/>
      <c r="N1272" s="1"/>
      <c r="O1272" s="1"/>
    </row>
    <row r="1273" spans="2:15" x14ac:dyDescent="0.3">
      <c r="B1273" s="1"/>
      <c r="C1273" s="1"/>
      <c r="D1273" s="1"/>
      <c r="E1273" s="1"/>
      <c r="F1273" s="1"/>
      <c r="G1273" s="1"/>
      <c r="H1273" s="1"/>
      <c r="I1273" s="1"/>
      <c r="J1273" s="1"/>
      <c r="K1273" s="1"/>
      <c r="L1273" s="1"/>
      <c r="M1273" s="1"/>
      <c r="N1273" s="1"/>
      <c r="O1273" s="1"/>
    </row>
    <row r="1274" spans="2:15" x14ac:dyDescent="0.3">
      <c r="B1274" s="1"/>
      <c r="C1274" s="1"/>
      <c r="D1274" s="1"/>
      <c r="E1274" s="1"/>
      <c r="F1274" s="1"/>
      <c r="G1274" s="1"/>
      <c r="H1274" s="1"/>
      <c r="I1274" s="1"/>
      <c r="J1274" s="1"/>
      <c r="K1274" s="1"/>
      <c r="L1274" s="1"/>
      <c r="M1274" s="1"/>
      <c r="N1274" s="1"/>
      <c r="O1274" s="1"/>
    </row>
    <row r="1275" spans="2:15" x14ac:dyDescent="0.3">
      <c r="B1275" s="1"/>
      <c r="C1275" s="1"/>
      <c r="D1275" s="1"/>
      <c r="E1275" s="1"/>
      <c r="F1275" s="1"/>
      <c r="G1275" s="1"/>
      <c r="H1275" s="1"/>
      <c r="I1275" s="1"/>
      <c r="J1275" s="1"/>
      <c r="K1275" s="1"/>
      <c r="L1275" s="1"/>
      <c r="M1275" s="1"/>
      <c r="N1275" s="1"/>
      <c r="O1275" s="1"/>
    </row>
    <row r="1276" spans="2:15" x14ac:dyDescent="0.3">
      <c r="B1276" s="1"/>
      <c r="C1276" s="1"/>
      <c r="D1276" s="1"/>
      <c r="E1276" s="1"/>
      <c r="F1276" s="1"/>
      <c r="G1276" s="1"/>
      <c r="H1276" s="1"/>
      <c r="I1276" s="1"/>
      <c r="J1276" s="1"/>
      <c r="K1276" s="1"/>
      <c r="L1276" s="1"/>
      <c r="M1276" s="1"/>
      <c r="N1276" s="1"/>
      <c r="O1276" s="1"/>
    </row>
    <row r="1277" spans="2:15" x14ac:dyDescent="0.3">
      <c r="B1277" s="1"/>
      <c r="C1277" s="1"/>
      <c r="D1277" s="1"/>
      <c r="E1277" s="1"/>
      <c r="F1277" s="1"/>
      <c r="G1277" s="1"/>
      <c r="H1277" s="1"/>
      <c r="I1277" s="1"/>
      <c r="J1277" s="1"/>
      <c r="K1277" s="1"/>
      <c r="L1277" s="1"/>
      <c r="M1277" s="1"/>
      <c r="N1277" s="1"/>
      <c r="O1277" s="1"/>
    </row>
    <row r="1278" spans="2:15" x14ac:dyDescent="0.3">
      <c r="B1278" s="1"/>
      <c r="C1278" s="1"/>
      <c r="D1278" s="1"/>
      <c r="E1278" s="1"/>
      <c r="F1278" s="1"/>
      <c r="G1278" s="1"/>
      <c r="H1278" s="1"/>
      <c r="I1278" s="1"/>
      <c r="J1278" s="1"/>
      <c r="K1278" s="1"/>
      <c r="L1278" s="1"/>
      <c r="M1278" s="1"/>
      <c r="N1278" s="1"/>
      <c r="O1278" s="1"/>
    </row>
    <row r="1279" spans="2:15" x14ac:dyDescent="0.3">
      <c r="B1279" s="1"/>
      <c r="C1279" s="1"/>
      <c r="D1279" s="1"/>
      <c r="E1279" s="1"/>
      <c r="F1279" s="1"/>
      <c r="G1279" s="1"/>
      <c r="H1279" s="1"/>
      <c r="I1279" s="1"/>
      <c r="J1279" s="1"/>
      <c r="K1279" s="1"/>
      <c r="L1279" s="1"/>
      <c r="M1279" s="1"/>
      <c r="N1279" s="1"/>
      <c r="O1279" s="1"/>
    </row>
    <row r="1280" spans="2:15" x14ac:dyDescent="0.3">
      <c r="B1280" s="1"/>
      <c r="C1280" s="1"/>
      <c r="D1280" s="1"/>
      <c r="E1280" s="1"/>
      <c r="F1280" s="1"/>
      <c r="G1280" s="1"/>
      <c r="H1280" s="1"/>
      <c r="I1280" s="1"/>
      <c r="J1280" s="1"/>
      <c r="K1280" s="1"/>
      <c r="L1280" s="1"/>
      <c r="M1280" s="1"/>
      <c r="N1280" s="1"/>
      <c r="O1280" s="1"/>
    </row>
    <row r="1281" spans="2:15" x14ac:dyDescent="0.3">
      <c r="B1281" s="1"/>
      <c r="C1281" s="1"/>
      <c r="D1281" s="1"/>
      <c r="E1281" s="1"/>
      <c r="F1281" s="1"/>
      <c r="G1281" s="1"/>
      <c r="H1281" s="1"/>
      <c r="I1281" s="1"/>
      <c r="J1281" s="1"/>
      <c r="K1281" s="1"/>
      <c r="L1281" s="1"/>
      <c r="M1281" s="1"/>
      <c r="N1281" s="1"/>
      <c r="O1281" s="1"/>
    </row>
    <row r="1282" spans="2:15" x14ac:dyDescent="0.3">
      <c r="B1282" s="1"/>
      <c r="C1282" s="1"/>
      <c r="D1282" s="1"/>
      <c r="E1282" s="1"/>
      <c r="F1282" s="1"/>
      <c r="G1282" s="1"/>
      <c r="H1282" s="1"/>
      <c r="I1282" s="1"/>
      <c r="J1282" s="1"/>
      <c r="K1282" s="1"/>
      <c r="L1282" s="1"/>
      <c r="M1282" s="1"/>
      <c r="N1282" s="1"/>
      <c r="O1282" s="1"/>
    </row>
    <row r="1283" spans="2:15" x14ac:dyDescent="0.3">
      <c r="B1283" s="1"/>
      <c r="C1283" s="1"/>
      <c r="D1283" s="1"/>
      <c r="E1283" s="1"/>
      <c r="F1283" s="1"/>
      <c r="G1283" s="1"/>
      <c r="H1283" s="1"/>
      <c r="I1283" s="1"/>
      <c r="J1283" s="1"/>
      <c r="K1283" s="1"/>
      <c r="L1283" s="1"/>
      <c r="M1283" s="1"/>
      <c r="N1283" s="1"/>
      <c r="O1283" s="1"/>
    </row>
    <row r="1284" spans="2:15" x14ac:dyDescent="0.3">
      <c r="B1284" s="1"/>
      <c r="C1284" s="1"/>
      <c r="D1284" s="1"/>
      <c r="E1284" s="1"/>
      <c r="F1284" s="1"/>
      <c r="G1284" s="1"/>
      <c r="H1284" s="1"/>
      <c r="I1284" s="1"/>
      <c r="J1284" s="1"/>
      <c r="K1284" s="1"/>
      <c r="L1284" s="1"/>
      <c r="M1284" s="1"/>
      <c r="N1284" s="1"/>
      <c r="O1284" s="1"/>
    </row>
    <row r="1285" spans="2:15" x14ac:dyDescent="0.3">
      <c r="B1285" s="1"/>
      <c r="C1285" s="1"/>
      <c r="D1285" s="1"/>
      <c r="E1285" s="1"/>
      <c r="F1285" s="1"/>
      <c r="G1285" s="1"/>
      <c r="H1285" s="1"/>
      <c r="I1285" s="1"/>
      <c r="J1285" s="1"/>
      <c r="K1285" s="1"/>
      <c r="L1285" s="1"/>
      <c r="M1285" s="1"/>
      <c r="N1285" s="1"/>
      <c r="O1285" s="1"/>
    </row>
    <row r="1286" spans="2:15" x14ac:dyDescent="0.3">
      <c r="B1286" s="1"/>
      <c r="C1286" s="1"/>
      <c r="D1286" s="1"/>
      <c r="E1286" s="1"/>
      <c r="F1286" s="1"/>
      <c r="G1286" s="1"/>
      <c r="H1286" s="1"/>
      <c r="I1286" s="1"/>
      <c r="J1286" s="1"/>
      <c r="K1286" s="1"/>
      <c r="L1286" s="1"/>
      <c r="M1286" s="1"/>
      <c r="N1286" s="1"/>
      <c r="O1286" s="1"/>
    </row>
    <row r="1287" spans="2:15" x14ac:dyDescent="0.3">
      <c r="B1287" s="1"/>
      <c r="C1287" s="1"/>
      <c r="D1287" s="1"/>
      <c r="E1287" s="1"/>
      <c r="F1287" s="1"/>
      <c r="G1287" s="1"/>
      <c r="H1287" s="1"/>
      <c r="I1287" s="1"/>
      <c r="J1287" s="1"/>
      <c r="K1287" s="1"/>
      <c r="L1287" s="1"/>
      <c r="M1287" s="1"/>
      <c r="N1287" s="1"/>
      <c r="O1287" s="1"/>
    </row>
    <row r="1288" spans="2:15" x14ac:dyDescent="0.3">
      <c r="B1288" s="1"/>
      <c r="C1288" s="1"/>
      <c r="D1288" s="1"/>
      <c r="E1288" s="1"/>
      <c r="F1288" s="1"/>
      <c r="G1288" s="1"/>
      <c r="H1288" s="1"/>
      <c r="I1288" s="1"/>
      <c r="J1288" s="1"/>
      <c r="K1288" s="1"/>
      <c r="L1288" s="1"/>
      <c r="M1288" s="1"/>
      <c r="N1288" s="1"/>
      <c r="O1288" s="1"/>
    </row>
    <row r="1289" spans="2:15" x14ac:dyDescent="0.3">
      <c r="B1289" s="1"/>
      <c r="C1289" s="1"/>
      <c r="D1289" s="1"/>
      <c r="E1289" s="1"/>
      <c r="F1289" s="1"/>
      <c r="G1289" s="1"/>
      <c r="H1289" s="1"/>
      <c r="I1289" s="1"/>
      <c r="J1289" s="1"/>
      <c r="K1289" s="1"/>
      <c r="L1289" s="1"/>
      <c r="M1289" s="1"/>
      <c r="N1289" s="1"/>
      <c r="O1289" s="1"/>
    </row>
    <row r="1290" spans="2:15" x14ac:dyDescent="0.3">
      <c r="B1290" s="1"/>
      <c r="C1290" s="1"/>
      <c r="D1290" s="1"/>
      <c r="E1290" s="1"/>
      <c r="F1290" s="1"/>
      <c r="G1290" s="1"/>
      <c r="H1290" s="1"/>
      <c r="I1290" s="1"/>
      <c r="J1290" s="1"/>
      <c r="K1290" s="1"/>
      <c r="L1290" s="1"/>
      <c r="M1290" s="1"/>
      <c r="N1290" s="1"/>
      <c r="O1290" s="1"/>
    </row>
    <row r="1291" spans="2:15" x14ac:dyDescent="0.3">
      <c r="B1291" s="1"/>
      <c r="C1291" s="1"/>
      <c r="D1291" s="1"/>
      <c r="E1291" s="1"/>
      <c r="F1291" s="1"/>
      <c r="G1291" s="1"/>
      <c r="H1291" s="1"/>
      <c r="I1291" s="1"/>
      <c r="J1291" s="1"/>
      <c r="K1291" s="1"/>
      <c r="L1291" s="1"/>
      <c r="M1291" s="1"/>
      <c r="N1291" s="1"/>
      <c r="O1291" s="1"/>
    </row>
    <row r="1292" spans="2:15" x14ac:dyDescent="0.3">
      <c r="B1292" s="1"/>
      <c r="C1292" s="1"/>
      <c r="D1292" s="1"/>
      <c r="E1292" s="1"/>
      <c r="F1292" s="1"/>
      <c r="G1292" s="1"/>
      <c r="H1292" s="1"/>
      <c r="I1292" s="1"/>
      <c r="J1292" s="1"/>
      <c r="K1292" s="1"/>
      <c r="L1292" s="1"/>
      <c r="M1292" s="1"/>
      <c r="N1292" s="1"/>
      <c r="O1292" s="1"/>
    </row>
    <row r="1293" spans="2:15" x14ac:dyDescent="0.3">
      <c r="B1293" s="1"/>
      <c r="C1293" s="1"/>
      <c r="D1293" s="1"/>
      <c r="E1293" s="1"/>
      <c r="F1293" s="1"/>
      <c r="G1293" s="1"/>
      <c r="H1293" s="1"/>
      <c r="I1293" s="1"/>
      <c r="J1293" s="1"/>
      <c r="K1293" s="1"/>
      <c r="L1293" s="1"/>
      <c r="M1293" s="1"/>
      <c r="N1293" s="1"/>
      <c r="O1293" s="1"/>
    </row>
    <row r="1294" spans="2:15" x14ac:dyDescent="0.3">
      <c r="B1294" s="1"/>
      <c r="C1294" s="1"/>
      <c r="D1294" s="1"/>
      <c r="E1294" s="1"/>
      <c r="F1294" s="1"/>
      <c r="G1294" s="1"/>
      <c r="H1294" s="1"/>
      <c r="I1294" s="1"/>
      <c r="J1294" s="1"/>
      <c r="K1294" s="1"/>
      <c r="L1294" s="1"/>
      <c r="M1294" s="1"/>
      <c r="N1294" s="1"/>
      <c r="O1294" s="1"/>
    </row>
    <row r="1295" spans="2:15" x14ac:dyDescent="0.3">
      <c r="B1295" s="1"/>
      <c r="C1295" s="1"/>
      <c r="D1295" s="1"/>
      <c r="E1295" s="1"/>
      <c r="F1295" s="1"/>
      <c r="G1295" s="1"/>
      <c r="H1295" s="1"/>
      <c r="I1295" s="1"/>
      <c r="J1295" s="1"/>
      <c r="K1295" s="1"/>
      <c r="L1295" s="1"/>
      <c r="M1295" s="1"/>
      <c r="N1295" s="1"/>
      <c r="O1295" s="1"/>
    </row>
    <row r="1296" spans="2:15" x14ac:dyDescent="0.3">
      <c r="B1296" s="1"/>
      <c r="C1296" s="1"/>
      <c r="D1296" s="1"/>
      <c r="E1296" s="1"/>
      <c r="F1296" s="1"/>
      <c r="G1296" s="1"/>
      <c r="H1296" s="1"/>
      <c r="I1296" s="1"/>
      <c r="J1296" s="1"/>
      <c r="K1296" s="1"/>
      <c r="L1296" s="1"/>
      <c r="M1296" s="1"/>
      <c r="N1296" s="1"/>
      <c r="O1296" s="1"/>
    </row>
    <row r="1297" spans="2:15" x14ac:dyDescent="0.3">
      <c r="B1297" s="1"/>
      <c r="C1297" s="1"/>
      <c r="D1297" s="1"/>
      <c r="E1297" s="1"/>
      <c r="F1297" s="1"/>
      <c r="G1297" s="1"/>
      <c r="H1297" s="1"/>
      <c r="I1297" s="1"/>
      <c r="J1297" s="1"/>
      <c r="K1297" s="1"/>
      <c r="L1297" s="1"/>
      <c r="M1297" s="1"/>
      <c r="N1297" s="1"/>
      <c r="O1297" s="1"/>
    </row>
    <row r="1298" spans="2:15" x14ac:dyDescent="0.3">
      <c r="B1298" s="1"/>
      <c r="C1298" s="1"/>
      <c r="D1298" s="1"/>
      <c r="E1298" s="1"/>
      <c r="F1298" s="1"/>
      <c r="G1298" s="1"/>
      <c r="H1298" s="1"/>
      <c r="I1298" s="1"/>
      <c r="J1298" s="1"/>
      <c r="K1298" s="1"/>
      <c r="L1298" s="1"/>
      <c r="M1298" s="1"/>
      <c r="N1298" s="1"/>
      <c r="O1298" s="1"/>
    </row>
    <row r="1299" spans="2:15" x14ac:dyDescent="0.3">
      <c r="B1299" s="1"/>
      <c r="C1299" s="1"/>
      <c r="D1299" s="1"/>
      <c r="E1299" s="1"/>
      <c r="F1299" s="1"/>
      <c r="G1299" s="1"/>
      <c r="H1299" s="1"/>
      <c r="I1299" s="1"/>
      <c r="J1299" s="1"/>
      <c r="K1299" s="1"/>
      <c r="L1299" s="1"/>
      <c r="M1299" s="1"/>
      <c r="N1299" s="1"/>
      <c r="O1299" s="1"/>
    </row>
    <row r="1300" spans="2:15" x14ac:dyDescent="0.3">
      <c r="B1300" s="1"/>
      <c r="C1300" s="1"/>
      <c r="D1300" s="1"/>
      <c r="E1300" s="1"/>
      <c r="F1300" s="1"/>
      <c r="G1300" s="1"/>
      <c r="H1300" s="1"/>
      <c r="I1300" s="1"/>
      <c r="J1300" s="1"/>
      <c r="K1300" s="1"/>
      <c r="L1300" s="1"/>
      <c r="M1300" s="1"/>
      <c r="N1300" s="1"/>
      <c r="O1300" s="1"/>
    </row>
    <row r="1301" spans="2:15" x14ac:dyDescent="0.3">
      <c r="B1301" s="1"/>
      <c r="C1301" s="1"/>
      <c r="D1301" s="1"/>
      <c r="E1301" s="1"/>
      <c r="F1301" s="1"/>
      <c r="G1301" s="1"/>
      <c r="H1301" s="1"/>
      <c r="I1301" s="1"/>
      <c r="J1301" s="1"/>
      <c r="K1301" s="1"/>
      <c r="L1301" s="1"/>
      <c r="M1301" s="1"/>
      <c r="N1301" s="1"/>
      <c r="O1301" s="1"/>
    </row>
    <row r="1302" spans="2:15" x14ac:dyDescent="0.3">
      <c r="B1302" s="1"/>
      <c r="C1302" s="1"/>
      <c r="D1302" s="1"/>
      <c r="E1302" s="1"/>
      <c r="F1302" s="1"/>
      <c r="G1302" s="1"/>
      <c r="H1302" s="1"/>
      <c r="I1302" s="1"/>
      <c r="J1302" s="1"/>
      <c r="K1302" s="1"/>
      <c r="L1302" s="1"/>
      <c r="M1302" s="1"/>
      <c r="N1302" s="1"/>
      <c r="O1302" s="1"/>
    </row>
    <row r="1303" spans="2:15" x14ac:dyDescent="0.3">
      <c r="B1303" s="1"/>
      <c r="C1303" s="1"/>
      <c r="D1303" s="1"/>
      <c r="E1303" s="1"/>
      <c r="F1303" s="1"/>
      <c r="G1303" s="1"/>
      <c r="H1303" s="1"/>
      <c r="I1303" s="1"/>
      <c r="J1303" s="1"/>
      <c r="K1303" s="1"/>
      <c r="L1303" s="1"/>
      <c r="M1303" s="1"/>
      <c r="N1303" s="1"/>
      <c r="O1303" s="1"/>
    </row>
    <row r="1304" spans="2:15" x14ac:dyDescent="0.3">
      <c r="B1304" s="1"/>
      <c r="C1304" s="1"/>
      <c r="D1304" s="1"/>
      <c r="E1304" s="1"/>
      <c r="F1304" s="1"/>
      <c r="G1304" s="1"/>
      <c r="H1304" s="1"/>
      <c r="I1304" s="1"/>
      <c r="J1304" s="1"/>
      <c r="K1304" s="1"/>
      <c r="L1304" s="1"/>
      <c r="M1304" s="1"/>
      <c r="N1304" s="1"/>
      <c r="O1304" s="1"/>
    </row>
    <row r="1305" spans="2:15" x14ac:dyDescent="0.3">
      <c r="B1305" s="1"/>
      <c r="C1305" s="1"/>
      <c r="D1305" s="1"/>
      <c r="E1305" s="1"/>
      <c r="F1305" s="1"/>
      <c r="G1305" s="1"/>
      <c r="H1305" s="1"/>
      <c r="I1305" s="1"/>
      <c r="J1305" s="1"/>
      <c r="K1305" s="1"/>
      <c r="L1305" s="1"/>
      <c r="M1305" s="1"/>
      <c r="N1305" s="1"/>
      <c r="O1305" s="1"/>
    </row>
    <row r="1306" spans="2:15" x14ac:dyDescent="0.3">
      <c r="B1306" s="1"/>
      <c r="C1306" s="1"/>
      <c r="D1306" s="1"/>
      <c r="E1306" s="1"/>
      <c r="F1306" s="1"/>
      <c r="G1306" s="1"/>
      <c r="H1306" s="1"/>
      <c r="I1306" s="1"/>
      <c r="J1306" s="1"/>
      <c r="K1306" s="1"/>
      <c r="L1306" s="1"/>
      <c r="M1306" s="1"/>
      <c r="N1306" s="1"/>
      <c r="O1306" s="1"/>
    </row>
    <row r="1307" spans="2:15" x14ac:dyDescent="0.3">
      <c r="B1307" s="1"/>
      <c r="C1307" s="1"/>
      <c r="D1307" s="1"/>
      <c r="E1307" s="1"/>
      <c r="F1307" s="1"/>
      <c r="G1307" s="1"/>
      <c r="H1307" s="1"/>
      <c r="I1307" s="1"/>
      <c r="J1307" s="1"/>
      <c r="K1307" s="1"/>
      <c r="L1307" s="1"/>
      <c r="M1307" s="1"/>
      <c r="N1307" s="1"/>
      <c r="O1307" s="1"/>
    </row>
    <row r="1308" spans="2:15" x14ac:dyDescent="0.3">
      <c r="B1308" s="1"/>
      <c r="C1308" s="1"/>
      <c r="D1308" s="1"/>
      <c r="E1308" s="1"/>
      <c r="F1308" s="1"/>
      <c r="G1308" s="1"/>
      <c r="H1308" s="1"/>
      <c r="I1308" s="1"/>
      <c r="J1308" s="1"/>
      <c r="K1308" s="1"/>
      <c r="L1308" s="1"/>
      <c r="M1308" s="1"/>
      <c r="N1308" s="1"/>
      <c r="O1308" s="1"/>
    </row>
    <row r="1309" spans="2:15" x14ac:dyDescent="0.3">
      <c r="B1309" s="1"/>
      <c r="C1309" s="1"/>
      <c r="D1309" s="1"/>
      <c r="E1309" s="1"/>
      <c r="F1309" s="1"/>
      <c r="G1309" s="1"/>
      <c r="H1309" s="1"/>
      <c r="I1309" s="1"/>
      <c r="J1309" s="1"/>
      <c r="K1309" s="1"/>
      <c r="L1309" s="1"/>
      <c r="M1309" s="1"/>
      <c r="N1309" s="1"/>
      <c r="O1309" s="1"/>
    </row>
    <row r="1310" spans="2:15" x14ac:dyDescent="0.3">
      <c r="B1310" s="1"/>
      <c r="C1310" s="1"/>
      <c r="D1310" s="1"/>
      <c r="E1310" s="1"/>
      <c r="F1310" s="1"/>
      <c r="G1310" s="1"/>
      <c r="H1310" s="1"/>
      <c r="I1310" s="1"/>
      <c r="J1310" s="1"/>
      <c r="K1310" s="1"/>
      <c r="L1310" s="1"/>
      <c r="M1310" s="1"/>
      <c r="N1310" s="1"/>
      <c r="O1310" s="1"/>
    </row>
    <row r="1311" spans="2:15" x14ac:dyDescent="0.3">
      <c r="B1311" s="1"/>
      <c r="C1311" s="1"/>
      <c r="D1311" s="1"/>
      <c r="E1311" s="1"/>
      <c r="F1311" s="1"/>
      <c r="G1311" s="1"/>
      <c r="H1311" s="1"/>
      <c r="I1311" s="1"/>
      <c r="J1311" s="1"/>
      <c r="K1311" s="1"/>
      <c r="L1311" s="1"/>
      <c r="M1311" s="1"/>
      <c r="N1311" s="1"/>
      <c r="O1311" s="1"/>
    </row>
    <row r="1312" spans="2:15" x14ac:dyDescent="0.3">
      <c r="B1312" s="1"/>
      <c r="C1312" s="1"/>
      <c r="D1312" s="1"/>
      <c r="E1312" s="1"/>
      <c r="F1312" s="1"/>
      <c r="G1312" s="1"/>
      <c r="H1312" s="1"/>
      <c r="I1312" s="1"/>
      <c r="J1312" s="1"/>
      <c r="K1312" s="1"/>
      <c r="L1312" s="1"/>
      <c r="M1312" s="1"/>
      <c r="N1312" s="1"/>
      <c r="O1312" s="1"/>
    </row>
    <row r="1313" spans="2:15" x14ac:dyDescent="0.3">
      <c r="B1313" s="1"/>
      <c r="C1313" s="1"/>
      <c r="D1313" s="1"/>
      <c r="E1313" s="1"/>
      <c r="F1313" s="1"/>
      <c r="G1313" s="1"/>
      <c r="H1313" s="1"/>
      <c r="I1313" s="1"/>
      <c r="J1313" s="1"/>
      <c r="K1313" s="1"/>
      <c r="L1313" s="1"/>
      <c r="M1313" s="1"/>
      <c r="N1313" s="1"/>
      <c r="O1313" s="1"/>
    </row>
    <row r="1314" spans="2:15" x14ac:dyDescent="0.3">
      <c r="B1314" s="1"/>
      <c r="C1314" s="1"/>
      <c r="D1314" s="1"/>
      <c r="E1314" s="1"/>
      <c r="F1314" s="1"/>
      <c r="G1314" s="1"/>
      <c r="H1314" s="1"/>
      <c r="I1314" s="1"/>
      <c r="J1314" s="1"/>
      <c r="K1314" s="1"/>
      <c r="L1314" s="1"/>
      <c r="M1314" s="1"/>
      <c r="N1314" s="1"/>
      <c r="O1314" s="1"/>
    </row>
    <row r="1315" spans="2:15" x14ac:dyDescent="0.3">
      <c r="B1315" s="1"/>
      <c r="C1315" s="1"/>
      <c r="D1315" s="1"/>
      <c r="E1315" s="1"/>
      <c r="F1315" s="1"/>
      <c r="G1315" s="1"/>
      <c r="H1315" s="1"/>
      <c r="I1315" s="1"/>
      <c r="J1315" s="1"/>
      <c r="K1315" s="1"/>
      <c r="L1315" s="1"/>
      <c r="M1315" s="1"/>
      <c r="N1315" s="1"/>
      <c r="O1315" s="1"/>
    </row>
    <row r="1316" spans="2:15" x14ac:dyDescent="0.3">
      <c r="B1316" s="1"/>
      <c r="C1316" s="1"/>
      <c r="D1316" s="1"/>
      <c r="E1316" s="1"/>
      <c r="F1316" s="1"/>
      <c r="G1316" s="1"/>
      <c r="H1316" s="1"/>
      <c r="I1316" s="1"/>
      <c r="J1316" s="1"/>
      <c r="K1316" s="1"/>
      <c r="L1316" s="1"/>
      <c r="M1316" s="1"/>
      <c r="N1316" s="1"/>
      <c r="O1316" s="1"/>
    </row>
    <row r="1317" spans="2:15" x14ac:dyDescent="0.3">
      <c r="B1317" s="1"/>
      <c r="C1317" s="1"/>
      <c r="D1317" s="1"/>
      <c r="E1317" s="1"/>
      <c r="F1317" s="1"/>
      <c r="G1317" s="1"/>
      <c r="H1317" s="1"/>
      <c r="I1317" s="1"/>
      <c r="J1317" s="1"/>
      <c r="K1317" s="1"/>
      <c r="L1317" s="1"/>
      <c r="M1317" s="1"/>
      <c r="N1317" s="1"/>
      <c r="O1317" s="1"/>
    </row>
    <row r="1318" spans="2:15" x14ac:dyDescent="0.3">
      <c r="B1318" s="1"/>
      <c r="C1318" s="1"/>
      <c r="D1318" s="1"/>
      <c r="E1318" s="1"/>
      <c r="F1318" s="1"/>
      <c r="G1318" s="1"/>
      <c r="H1318" s="1"/>
      <c r="I1318" s="1"/>
      <c r="J1318" s="1"/>
      <c r="K1318" s="1"/>
      <c r="L1318" s="1"/>
      <c r="M1318" s="1"/>
      <c r="N1318" s="1"/>
      <c r="O1318" s="1"/>
    </row>
    <row r="1319" spans="2:15" x14ac:dyDescent="0.3">
      <c r="B1319" s="1"/>
      <c r="C1319" s="1"/>
      <c r="D1319" s="1"/>
      <c r="E1319" s="1"/>
      <c r="F1319" s="1"/>
      <c r="G1319" s="1"/>
      <c r="H1319" s="1"/>
      <c r="I1319" s="1"/>
      <c r="J1319" s="1"/>
      <c r="K1319" s="1"/>
      <c r="L1319" s="1"/>
      <c r="M1319" s="1"/>
      <c r="N1319" s="1"/>
      <c r="O1319" s="1"/>
    </row>
    <row r="1320" spans="2:15" x14ac:dyDescent="0.3">
      <c r="B1320" s="1"/>
      <c r="C1320" s="1"/>
      <c r="D1320" s="1"/>
      <c r="E1320" s="1"/>
      <c r="F1320" s="1"/>
      <c r="G1320" s="1"/>
      <c r="H1320" s="1"/>
      <c r="I1320" s="1"/>
      <c r="J1320" s="1"/>
      <c r="K1320" s="1"/>
      <c r="L1320" s="1"/>
      <c r="M1320" s="1"/>
      <c r="N1320" s="1"/>
      <c r="O1320" s="1"/>
    </row>
    <row r="1321" spans="2:15" x14ac:dyDescent="0.3">
      <c r="B1321" s="1"/>
      <c r="C1321" s="1"/>
      <c r="D1321" s="1"/>
      <c r="E1321" s="1"/>
      <c r="F1321" s="1"/>
      <c r="G1321" s="1"/>
      <c r="H1321" s="1"/>
      <c r="I1321" s="1"/>
      <c r="J1321" s="1"/>
      <c r="K1321" s="1"/>
      <c r="L1321" s="1"/>
      <c r="M1321" s="1"/>
      <c r="N1321" s="1"/>
      <c r="O1321" s="1"/>
    </row>
    <row r="1322" spans="2:15" x14ac:dyDescent="0.3">
      <c r="B1322" s="1"/>
      <c r="C1322" s="1"/>
      <c r="D1322" s="1"/>
      <c r="E1322" s="1"/>
      <c r="F1322" s="1"/>
      <c r="G1322" s="1"/>
      <c r="H1322" s="1"/>
      <c r="I1322" s="1"/>
      <c r="J1322" s="1"/>
      <c r="K1322" s="1"/>
      <c r="L1322" s="1"/>
      <c r="M1322" s="1"/>
      <c r="N1322" s="1"/>
      <c r="O1322" s="1"/>
    </row>
    <row r="1323" spans="2:15" x14ac:dyDescent="0.3">
      <c r="B1323" s="1"/>
      <c r="C1323" s="1"/>
      <c r="D1323" s="1"/>
      <c r="E1323" s="1"/>
      <c r="F1323" s="1"/>
      <c r="G1323" s="1"/>
      <c r="H1323" s="1"/>
      <c r="I1323" s="1"/>
      <c r="J1323" s="1"/>
      <c r="K1323" s="1"/>
      <c r="L1323" s="1"/>
      <c r="M1323" s="1"/>
      <c r="N1323" s="1"/>
      <c r="O1323" s="1"/>
    </row>
    <row r="1324" spans="2:15" x14ac:dyDescent="0.3">
      <c r="B1324" s="1"/>
      <c r="C1324" s="1"/>
      <c r="D1324" s="1"/>
      <c r="E1324" s="1"/>
      <c r="F1324" s="1"/>
      <c r="G1324" s="1"/>
      <c r="H1324" s="1"/>
      <c r="I1324" s="1"/>
      <c r="J1324" s="1"/>
      <c r="K1324" s="1"/>
      <c r="L1324" s="1"/>
      <c r="M1324" s="1"/>
      <c r="N1324" s="1"/>
      <c r="O1324" s="1"/>
    </row>
    <row r="1325" spans="2:15" x14ac:dyDescent="0.3">
      <c r="B1325" s="1"/>
      <c r="C1325" s="1"/>
      <c r="D1325" s="1"/>
      <c r="E1325" s="1"/>
      <c r="F1325" s="1"/>
      <c r="G1325" s="1"/>
      <c r="H1325" s="1"/>
      <c r="I1325" s="1"/>
      <c r="J1325" s="1"/>
      <c r="K1325" s="1"/>
      <c r="L1325" s="1"/>
      <c r="M1325" s="1"/>
      <c r="N1325" s="1"/>
      <c r="O1325" s="1"/>
    </row>
    <row r="1326" spans="2:15" x14ac:dyDescent="0.3">
      <c r="B1326" s="1"/>
      <c r="C1326" s="1"/>
      <c r="D1326" s="1"/>
      <c r="E1326" s="1"/>
      <c r="F1326" s="1"/>
      <c r="G1326" s="1"/>
      <c r="H1326" s="1"/>
      <c r="I1326" s="1"/>
      <c r="J1326" s="1"/>
      <c r="K1326" s="1"/>
      <c r="L1326" s="1"/>
      <c r="M1326" s="1"/>
      <c r="N1326" s="1"/>
      <c r="O1326" s="1"/>
    </row>
    <row r="1327" spans="2:15" x14ac:dyDescent="0.3">
      <c r="B1327" s="1"/>
      <c r="C1327" s="1"/>
      <c r="D1327" s="1"/>
      <c r="E1327" s="1"/>
      <c r="F1327" s="1"/>
      <c r="G1327" s="1"/>
      <c r="H1327" s="1"/>
      <c r="I1327" s="1"/>
      <c r="J1327" s="1"/>
      <c r="K1327" s="1"/>
      <c r="L1327" s="1"/>
      <c r="M1327" s="1"/>
      <c r="N1327" s="1"/>
      <c r="O1327" s="1"/>
    </row>
    <row r="1328" spans="2:15" x14ac:dyDescent="0.3">
      <c r="B1328" s="1"/>
      <c r="C1328" s="1"/>
      <c r="D1328" s="1"/>
      <c r="E1328" s="1"/>
      <c r="F1328" s="1"/>
      <c r="G1328" s="1"/>
      <c r="H1328" s="1"/>
      <c r="I1328" s="1"/>
      <c r="J1328" s="1"/>
      <c r="K1328" s="1"/>
      <c r="L1328" s="1"/>
      <c r="M1328" s="1"/>
      <c r="N1328" s="1"/>
      <c r="O1328" s="1"/>
    </row>
    <row r="1329" spans="2:15" x14ac:dyDescent="0.3">
      <c r="B1329" s="1"/>
      <c r="C1329" s="1"/>
      <c r="D1329" s="1"/>
      <c r="E1329" s="1"/>
      <c r="F1329" s="1"/>
      <c r="G1329" s="1"/>
      <c r="H1329" s="1"/>
      <c r="I1329" s="1"/>
      <c r="J1329" s="1"/>
      <c r="K1329" s="1"/>
      <c r="L1329" s="1"/>
      <c r="M1329" s="1"/>
      <c r="N1329" s="1"/>
      <c r="O1329" s="1"/>
    </row>
    <row r="1330" spans="2:15" x14ac:dyDescent="0.3">
      <c r="B1330" s="1"/>
      <c r="C1330" s="1"/>
      <c r="D1330" s="1"/>
      <c r="E1330" s="1"/>
      <c r="F1330" s="1"/>
      <c r="G1330" s="1"/>
      <c r="H1330" s="1"/>
      <c r="I1330" s="1"/>
      <c r="J1330" s="1"/>
      <c r="K1330" s="1"/>
      <c r="L1330" s="1"/>
      <c r="M1330" s="1"/>
      <c r="N1330" s="1"/>
      <c r="O1330" s="1"/>
    </row>
    <row r="1331" spans="2:15" x14ac:dyDescent="0.3">
      <c r="B1331" s="1"/>
      <c r="C1331" s="1"/>
      <c r="D1331" s="1"/>
      <c r="E1331" s="1"/>
      <c r="F1331" s="1"/>
      <c r="G1331" s="1"/>
      <c r="H1331" s="1"/>
      <c r="I1331" s="1"/>
      <c r="J1331" s="1"/>
      <c r="K1331" s="1"/>
      <c r="L1331" s="1"/>
      <c r="M1331" s="1"/>
      <c r="N1331" s="1"/>
      <c r="O1331" s="1"/>
    </row>
    <row r="1332" spans="2:15" x14ac:dyDescent="0.3">
      <c r="B1332" s="1"/>
      <c r="C1332" s="1"/>
      <c r="D1332" s="1"/>
      <c r="E1332" s="1"/>
      <c r="F1332" s="1"/>
      <c r="G1332" s="1"/>
      <c r="H1332" s="1"/>
      <c r="I1332" s="1"/>
      <c r="J1332" s="1"/>
      <c r="K1332" s="1"/>
      <c r="L1332" s="1"/>
      <c r="M1332" s="1"/>
      <c r="N1332" s="1"/>
      <c r="O1332" s="1"/>
    </row>
    <row r="1333" spans="2:15" x14ac:dyDescent="0.3">
      <c r="B1333" s="1"/>
      <c r="C1333" s="1"/>
      <c r="D1333" s="1"/>
      <c r="E1333" s="1"/>
      <c r="F1333" s="1"/>
      <c r="G1333" s="1"/>
      <c r="H1333" s="1"/>
      <c r="I1333" s="1"/>
      <c r="J1333" s="1"/>
      <c r="K1333" s="1"/>
      <c r="L1333" s="1"/>
      <c r="M1333" s="1"/>
      <c r="N1333" s="1"/>
      <c r="O1333" s="1"/>
    </row>
    <row r="1334" spans="2:15" x14ac:dyDescent="0.3">
      <c r="B1334" s="1"/>
      <c r="C1334" s="1"/>
      <c r="D1334" s="1"/>
      <c r="E1334" s="1"/>
      <c r="F1334" s="1"/>
      <c r="G1334" s="1"/>
      <c r="H1334" s="1"/>
      <c r="I1334" s="1"/>
      <c r="J1334" s="1"/>
      <c r="K1334" s="1"/>
      <c r="L1334" s="1"/>
      <c r="M1334" s="1"/>
      <c r="N1334" s="1"/>
      <c r="O1334" s="1"/>
    </row>
    <row r="1335" spans="2:15" x14ac:dyDescent="0.3">
      <c r="B1335" s="1"/>
      <c r="C1335" s="1"/>
      <c r="D1335" s="1"/>
      <c r="E1335" s="1"/>
      <c r="F1335" s="1"/>
      <c r="G1335" s="1"/>
      <c r="H1335" s="1"/>
      <c r="I1335" s="1"/>
      <c r="J1335" s="1"/>
      <c r="K1335" s="1"/>
      <c r="L1335" s="1"/>
      <c r="M1335" s="1"/>
      <c r="N1335" s="1"/>
      <c r="O1335" s="1"/>
    </row>
    <row r="1336" spans="2:15" x14ac:dyDescent="0.3">
      <c r="B1336" s="1"/>
      <c r="C1336" s="1"/>
      <c r="D1336" s="1"/>
      <c r="E1336" s="1"/>
      <c r="F1336" s="1"/>
      <c r="G1336" s="1"/>
      <c r="H1336" s="1"/>
      <c r="I1336" s="1"/>
      <c r="J1336" s="1"/>
      <c r="K1336" s="1"/>
      <c r="L1336" s="1"/>
      <c r="M1336" s="1"/>
      <c r="N1336" s="1"/>
      <c r="O1336" s="1"/>
    </row>
    <row r="1337" spans="2:15" x14ac:dyDescent="0.3">
      <c r="B1337" s="1"/>
      <c r="C1337" s="1"/>
      <c r="D1337" s="1"/>
      <c r="E1337" s="1"/>
      <c r="F1337" s="1"/>
      <c r="G1337" s="1"/>
      <c r="H1337" s="1"/>
      <c r="I1337" s="1"/>
      <c r="J1337" s="1"/>
      <c r="K1337" s="1"/>
      <c r="L1337" s="1"/>
      <c r="M1337" s="1"/>
      <c r="N1337" s="1"/>
      <c r="O1337" s="1"/>
    </row>
    <row r="1338" spans="2:15" x14ac:dyDescent="0.3">
      <c r="B1338" s="1"/>
      <c r="C1338" s="1"/>
      <c r="D1338" s="1"/>
      <c r="E1338" s="1"/>
      <c r="F1338" s="1"/>
      <c r="G1338" s="1"/>
      <c r="H1338" s="1"/>
      <c r="I1338" s="1"/>
      <c r="J1338" s="1"/>
      <c r="K1338" s="1"/>
      <c r="L1338" s="1"/>
      <c r="M1338" s="1"/>
      <c r="N1338" s="1"/>
      <c r="O1338" s="1"/>
    </row>
    <row r="1339" spans="2:15" x14ac:dyDescent="0.3">
      <c r="B1339" s="1"/>
      <c r="C1339" s="1"/>
      <c r="D1339" s="1"/>
      <c r="E1339" s="1"/>
      <c r="F1339" s="1"/>
      <c r="G1339" s="1"/>
      <c r="H1339" s="1"/>
      <c r="I1339" s="1"/>
      <c r="J1339" s="1"/>
      <c r="K1339" s="1"/>
      <c r="L1339" s="1"/>
      <c r="M1339" s="1"/>
      <c r="N1339" s="1"/>
      <c r="O1339" s="1"/>
    </row>
    <row r="1340" spans="2:15" x14ac:dyDescent="0.3">
      <c r="B1340" s="1"/>
      <c r="C1340" s="1"/>
      <c r="D1340" s="1"/>
      <c r="E1340" s="1"/>
      <c r="F1340" s="1"/>
      <c r="G1340" s="1"/>
      <c r="H1340" s="1"/>
      <c r="I1340" s="1"/>
      <c r="J1340" s="1"/>
      <c r="K1340" s="1"/>
      <c r="L1340" s="1"/>
      <c r="M1340" s="1"/>
      <c r="N1340" s="1"/>
      <c r="O1340" s="1"/>
    </row>
    <row r="1341" spans="2:15" x14ac:dyDescent="0.3">
      <c r="B1341" s="1"/>
      <c r="C1341" s="1"/>
      <c r="D1341" s="1"/>
      <c r="E1341" s="1"/>
      <c r="F1341" s="1"/>
      <c r="G1341" s="1"/>
      <c r="H1341" s="1"/>
      <c r="I1341" s="1"/>
      <c r="J1341" s="1"/>
      <c r="K1341" s="1"/>
      <c r="L1341" s="1"/>
      <c r="M1341" s="1"/>
      <c r="N1341" s="1"/>
      <c r="O1341" s="1"/>
    </row>
    <row r="1342" spans="2:15" x14ac:dyDescent="0.3">
      <c r="B1342" s="1"/>
      <c r="C1342" s="1"/>
      <c r="D1342" s="1"/>
      <c r="E1342" s="1"/>
      <c r="F1342" s="1"/>
      <c r="G1342" s="1"/>
      <c r="H1342" s="1"/>
      <c r="I1342" s="1"/>
      <c r="J1342" s="1"/>
      <c r="K1342" s="1"/>
      <c r="L1342" s="1"/>
      <c r="M1342" s="1"/>
      <c r="N1342" s="1"/>
      <c r="O1342" s="1"/>
    </row>
    <row r="1343" spans="2:15" x14ac:dyDescent="0.3">
      <c r="B1343" s="1"/>
      <c r="C1343" s="1"/>
      <c r="D1343" s="1"/>
      <c r="E1343" s="1"/>
      <c r="F1343" s="1"/>
      <c r="G1343" s="1"/>
      <c r="H1343" s="1"/>
      <c r="I1343" s="1"/>
      <c r="J1343" s="1"/>
      <c r="K1343" s="1"/>
      <c r="L1343" s="1"/>
      <c r="M1343" s="1"/>
      <c r="N1343" s="1"/>
      <c r="O1343" s="1"/>
    </row>
    <row r="1344" spans="2:15" x14ac:dyDescent="0.3">
      <c r="B1344" s="1"/>
      <c r="C1344" s="1"/>
      <c r="D1344" s="1"/>
      <c r="E1344" s="1"/>
      <c r="F1344" s="1"/>
      <c r="G1344" s="1"/>
      <c r="H1344" s="1"/>
      <c r="I1344" s="1"/>
      <c r="J1344" s="1"/>
      <c r="K1344" s="1"/>
      <c r="L1344" s="1"/>
      <c r="M1344" s="1"/>
      <c r="N1344" s="1"/>
      <c r="O1344" s="1"/>
    </row>
    <row r="1345" spans="2:15" x14ac:dyDescent="0.3">
      <c r="B1345" s="1"/>
      <c r="C1345" s="1"/>
      <c r="D1345" s="1"/>
      <c r="E1345" s="1"/>
      <c r="F1345" s="1"/>
      <c r="G1345" s="1"/>
      <c r="H1345" s="1"/>
      <c r="I1345" s="1"/>
      <c r="J1345" s="1"/>
      <c r="K1345" s="1"/>
      <c r="L1345" s="1"/>
      <c r="M1345" s="1"/>
      <c r="N1345" s="1"/>
      <c r="O1345" s="1"/>
    </row>
    <row r="1346" spans="2:15" x14ac:dyDescent="0.3">
      <c r="B1346" s="1"/>
      <c r="C1346" s="1"/>
      <c r="D1346" s="1"/>
      <c r="E1346" s="1"/>
      <c r="F1346" s="1"/>
      <c r="G1346" s="1"/>
      <c r="H1346" s="1"/>
      <c r="I1346" s="1"/>
      <c r="J1346" s="1"/>
      <c r="K1346" s="1"/>
      <c r="L1346" s="1"/>
      <c r="M1346" s="1"/>
      <c r="N1346" s="1"/>
      <c r="O1346" s="1"/>
    </row>
    <row r="1347" spans="2:15" x14ac:dyDescent="0.3">
      <c r="B1347" s="1"/>
      <c r="C1347" s="1"/>
      <c r="D1347" s="1"/>
      <c r="E1347" s="1"/>
      <c r="F1347" s="1"/>
      <c r="G1347" s="1"/>
      <c r="H1347" s="1"/>
      <c r="I1347" s="1"/>
      <c r="J1347" s="1"/>
      <c r="K1347" s="1"/>
      <c r="L1347" s="1"/>
      <c r="M1347" s="1"/>
      <c r="N1347" s="1"/>
      <c r="O1347" s="1"/>
    </row>
    <row r="1348" spans="2:15" x14ac:dyDescent="0.3">
      <c r="B1348" s="1"/>
      <c r="C1348" s="1"/>
      <c r="D1348" s="1"/>
      <c r="E1348" s="1"/>
      <c r="F1348" s="1"/>
      <c r="G1348" s="1"/>
      <c r="H1348" s="1"/>
      <c r="I1348" s="1"/>
      <c r="J1348" s="1"/>
      <c r="K1348" s="1"/>
      <c r="L1348" s="1"/>
      <c r="M1348" s="1"/>
      <c r="N1348" s="1"/>
      <c r="O1348" s="1"/>
    </row>
    <row r="1349" spans="2:15" x14ac:dyDescent="0.3">
      <c r="B1349" s="1"/>
      <c r="C1349" s="1"/>
      <c r="D1349" s="1"/>
      <c r="E1349" s="1"/>
      <c r="F1349" s="1"/>
      <c r="G1349" s="1"/>
      <c r="H1349" s="1"/>
      <c r="I1349" s="1"/>
      <c r="J1349" s="1"/>
      <c r="K1349" s="1"/>
      <c r="L1349" s="1"/>
      <c r="M1349" s="1"/>
      <c r="N1349" s="1"/>
      <c r="O1349" s="1"/>
    </row>
    <row r="1350" spans="2:15" x14ac:dyDescent="0.3">
      <c r="B1350" s="1"/>
      <c r="C1350" s="1"/>
      <c r="D1350" s="1"/>
      <c r="E1350" s="1"/>
      <c r="F1350" s="1"/>
      <c r="G1350" s="1"/>
      <c r="H1350" s="1"/>
      <c r="I1350" s="1"/>
      <c r="J1350" s="1"/>
      <c r="K1350" s="1"/>
      <c r="L1350" s="1"/>
      <c r="M1350" s="1"/>
      <c r="N1350" s="1"/>
      <c r="O1350" s="1"/>
    </row>
    <row r="1351" spans="2:15" x14ac:dyDescent="0.3">
      <c r="B1351" s="1"/>
      <c r="C1351" s="1"/>
      <c r="D1351" s="1"/>
      <c r="E1351" s="1"/>
      <c r="F1351" s="1"/>
      <c r="G1351" s="1"/>
      <c r="H1351" s="1"/>
      <c r="I1351" s="1"/>
      <c r="J1351" s="1"/>
      <c r="K1351" s="1"/>
      <c r="L1351" s="1"/>
      <c r="M1351" s="1"/>
      <c r="N1351" s="1"/>
      <c r="O1351" s="1"/>
    </row>
    <row r="1352" spans="2:15" x14ac:dyDescent="0.3">
      <c r="B1352" s="1"/>
      <c r="C1352" s="1"/>
      <c r="D1352" s="1"/>
      <c r="E1352" s="1"/>
      <c r="F1352" s="1"/>
      <c r="G1352" s="1"/>
      <c r="H1352" s="1"/>
      <c r="I1352" s="1"/>
      <c r="J1352" s="1"/>
      <c r="K1352" s="1"/>
      <c r="L1352" s="1"/>
      <c r="M1352" s="1"/>
      <c r="N1352" s="1"/>
      <c r="O1352" s="1"/>
    </row>
    <row r="1353" spans="2:15" x14ac:dyDescent="0.3">
      <c r="B1353" s="1"/>
      <c r="C1353" s="1"/>
      <c r="D1353" s="1"/>
      <c r="E1353" s="1"/>
      <c r="F1353" s="1"/>
      <c r="G1353" s="1"/>
      <c r="H1353" s="1"/>
      <c r="I1353" s="1"/>
      <c r="J1353" s="1"/>
      <c r="K1353" s="1"/>
      <c r="L1353" s="1"/>
      <c r="M1353" s="1"/>
      <c r="N1353" s="1"/>
      <c r="O1353" s="1"/>
    </row>
    <row r="1354" spans="2:15" x14ac:dyDescent="0.3">
      <c r="B1354" s="1"/>
      <c r="C1354" s="1"/>
      <c r="D1354" s="1"/>
      <c r="E1354" s="1"/>
      <c r="F1354" s="1"/>
      <c r="G1354" s="1"/>
      <c r="H1354" s="1"/>
      <c r="I1354" s="1"/>
      <c r="J1354" s="1"/>
      <c r="K1354" s="1"/>
      <c r="L1354" s="1"/>
      <c r="M1354" s="1"/>
      <c r="N1354" s="1"/>
      <c r="O1354" s="1"/>
    </row>
    <row r="1355" spans="2:15" x14ac:dyDescent="0.3">
      <c r="B1355" s="1"/>
      <c r="C1355" s="1"/>
      <c r="D1355" s="1"/>
      <c r="E1355" s="1"/>
      <c r="F1355" s="1"/>
      <c r="G1355" s="1"/>
      <c r="H1355" s="1"/>
      <c r="I1355" s="1"/>
      <c r="J1355" s="1"/>
      <c r="K1355" s="1"/>
      <c r="L1355" s="1"/>
      <c r="M1355" s="1"/>
      <c r="N1355" s="1"/>
      <c r="O1355" s="1"/>
    </row>
    <row r="1356" spans="2:15" x14ac:dyDescent="0.3">
      <c r="B1356" s="1"/>
      <c r="C1356" s="1"/>
      <c r="D1356" s="1"/>
      <c r="E1356" s="1"/>
      <c r="F1356" s="1"/>
      <c r="G1356" s="1"/>
      <c r="H1356" s="1"/>
      <c r="I1356" s="1"/>
      <c r="J1356" s="1"/>
      <c r="K1356" s="1"/>
      <c r="L1356" s="1"/>
      <c r="M1356" s="1"/>
      <c r="N1356" s="1"/>
      <c r="O1356" s="1"/>
    </row>
    <row r="1357" spans="2:15" x14ac:dyDescent="0.3">
      <c r="B1357" s="1"/>
      <c r="C1357" s="1"/>
      <c r="D1357" s="1"/>
      <c r="E1357" s="1"/>
      <c r="F1357" s="1"/>
      <c r="G1357" s="1"/>
      <c r="H1357" s="1"/>
      <c r="I1357" s="1"/>
      <c r="J1357" s="1"/>
      <c r="K1357" s="1"/>
      <c r="L1357" s="1"/>
      <c r="M1357" s="1"/>
      <c r="N1357" s="1"/>
      <c r="O1357" s="1"/>
    </row>
    <row r="1358" spans="2:15" x14ac:dyDescent="0.3">
      <c r="B1358" s="1"/>
      <c r="C1358" s="1"/>
      <c r="D1358" s="1"/>
      <c r="E1358" s="1"/>
      <c r="F1358" s="1"/>
      <c r="G1358" s="1"/>
      <c r="H1358" s="1"/>
      <c r="I1358" s="1"/>
      <c r="J1358" s="1"/>
      <c r="K1358" s="1"/>
      <c r="L1358" s="1"/>
      <c r="M1358" s="1"/>
      <c r="N1358" s="1"/>
      <c r="O1358" s="1"/>
    </row>
    <row r="1359" spans="2:15" x14ac:dyDescent="0.3">
      <c r="B1359" s="1"/>
      <c r="C1359" s="1"/>
      <c r="D1359" s="1"/>
      <c r="E1359" s="1"/>
      <c r="F1359" s="1"/>
      <c r="G1359" s="1"/>
      <c r="H1359" s="1"/>
      <c r="I1359" s="1"/>
      <c r="J1359" s="1"/>
      <c r="K1359" s="1"/>
      <c r="L1359" s="1"/>
      <c r="M1359" s="1"/>
      <c r="N1359" s="1"/>
      <c r="O1359" s="1"/>
    </row>
    <row r="1360" spans="2:15" x14ac:dyDescent="0.3">
      <c r="B1360" s="1"/>
      <c r="C1360" s="1"/>
      <c r="D1360" s="1"/>
      <c r="E1360" s="1"/>
      <c r="F1360" s="1"/>
      <c r="G1360" s="1"/>
      <c r="H1360" s="1"/>
      <c r="I1360" s="1"/>
      <c r="J1360" s="1"/>
      <c r="K1360" s="1"/>
      <c r="L1360" s="1"/>
      <c r="M1360" s="1"/>
      <c r="N1360" s="1"/>
      <c r="O1360" s="1"/>
    </row>
    <row r="1361" spans="2:15" x14ac:dyDescent="0.3">
      <c r="B1361" s="1"/>
      <c r="C1361" s="1"/>
      <c r="D1361" s="1"/>
      <c r="E1361" s="1"/>
      <c r="F1361" s="1"/>
      <c r="G1361" s="1"/>
      <c r="H1361" s="1"/>
      <c r="I1361" s="1"/>
      <c r="J1361" s="1"/>
      <c r="K1361" s="1"/>
      <c r="L1361" s="1"/>
      <c r="M1361" s="1"/>
      <c r="N1361" s="1"/>
      <c r="O1361" s="1"/>
    </row>
    <row r="1362" spans="2:15" x14ac:dyDescent="0.3">
      <c r="B1362" s="1"/>
      <c r="C1362" s="1"/>
      <c r="D1362" s="1"/>
      <c r="E1362" s="1"/>
      <c r="F1362" s="1"/>
      <c r="G1362" s="1"/>
      <c r="H1362" s="1"/>
      <c r="I1362" s="1"/>
      <c r="J1362" s="1"/>
      <c r="K1362" s="1"/>
      <c r="L1362" s="1"/>
      <c r="M1362" s="1"/>
      <c r="N1362" s="1"/>
      <c r="O1362" s="1"/>
    </row>
    <row r="1363" spans="2:15" x14ac:dyDescent="0.3">
      <c r="B1363" s="1"/>
      <c r="C1363" s="1"/>
      <c r="D1363" s="1"/>
      <c r="E1363" s="1"/>
      <c r="F1363" s="1"/>
      <c r="G1363" s="1"/>
      <c r="H1363" s="1"/>
      <c r="I1363" s="1"/>
      <c r="J1363" s="1"/>
      <c r="K1363" s="1"/>
      <c r="L1363" s="1"/>
      <c r="M1363" s="1"/>
      <c r="N1363" s="1"/>
      <c r="O1363" s="1"/>
    </row>
    <row r="1364" spans="2:15" x14ac:dyDescent="0.3">
      <c r="B1364" s="1"/>
      <c r="C1364" s="1"/>
      <c r="D1364" s="1"/>
      <c r="E1364" s="1"/>
      <c r="F1364" s="1"/>
      <c r="G1364" s="1"/>
      <c r="H1364" s="1"/>
      <c r="I1364" s="1"/>
      <c r="J1364" s="1"/>
      <c r="K1364" s="1"/>
      <c r="L1364" s="1"/>
      <c r="M1364" s="1"/>
      <c r="N1364" s="1"/>
      <c r="O1364" s="1"/>
    </row>
    <row r="1365" spans="2:15" x14ac:dyDescent="0.3">
      <c r="B1365" s="1"/>
      <c r="C1365" s="1"/>
      <c r="D1365" s="1"/>
      <c r="E1365" s="1"/>
      <c r="F1365" s="1"/>
      <c r="G1365" s="1"/>
      <c r="H1365" s="1"/>
      <c r="I1365" s="1"/>
      <c r="J1365" s="1"/>
      <c r="K1365" s="1"/>
      <c r="L1365" s="1"/>
      <c r="M1365" s="1"/>
      <c r="N1365" s="1"/>
      <c r="O1365" s="1"/>
    </row>
    <row r="1366" spans="2:15" x14ac:dyDescent="0.3">
      <c r="B1366" s="1"/>
      <c r="C1366" s="1"/>
      <c r="D1366" s="1"/>
      <c r="E1366" s="1"/>
      <c r="F1366" s="1"/>
      <c r="G1366" s="1"/>
      <c r="H1366" s="1"/>
      <c r="I1366" s="1"/>
      <c r="J1366" s="1"/>
      <c r="K1366" s="1"/>
      <c r="L1366" s="1"/>
      <c r="M1366" s="1"/>
      <c r="N1366" s="1"/>
      <c r="O1366" s="1"/>
    </row>
    <row r="1367" spans="2:15" x14ac:dyDescent="0.3">
      <c r="B1367" s="1"/>
      <c r="C1367" s="1"/>
      <c r="D1367" s="1"/>
      <c r="E1367" s="1"/>
      <c r="F1367" s="1"/>
      <c r="G1367" s="1"/>
      <c r="H1367" s="1"/>
      <c r="I1367" s="1"/>
      <c r="J1367" s="1"/>
      <c r="K1367" s="1"/>
      <c r="L1367" s="1"/>
      <c r="M1367" s="1"/>
      <c r="N1367" s="1"/>
      <c r="O1367" s="1"/>
    </row>
    <row r="1368" spans="2:15" x14ac:dyDescent="0.3">
      <c r="B1368" s="1"/>
      <c r="C1368" s="1"/>
      <c r="D1368" s="1"/>
      <c r="E1368" s="1"/>
      <c r="F1368" s="1"/>
      <c r="G1368" s="1"/>
      <c r="H1368" s="1"/>
      <c r="I1368" s="1"/>
      <c r="J1368" s="1"/>
      <c r="K1368" s="1"/>
      <c r="L1368" s="1"/>
      <c r="M1368" s="1"/>
      <c r="N1368" s="1"/>
      <c r="O1368" s="1"/>
    </row>
    <row r="1369" spans="2:15" x14ac:dyDescent="0.3">
      <c r="B1369" s="1"/>
      <c r="C1369" s="1"/>
      <c r="D1369" s="1"/>
      <c r="E1369" s="1"/>
      <c r="F1369" s="1"/>
      <c r="G1369" s="1"/>
      <c r="H1369" s="1"/>
      <c r="I1369" s="1"/>
      <c r="J1369" s="1"/>
      <c r="K1369" s="1"/>
      <c r="L1369" s="1"/>
      <c r="M1369" s="1"/>
      <c r="N1369" s="1"/>
      <c r="O1369" s="1"/>
    </row>
    <row r="1370" spans="2:15" x14ac:dyDescent="0.3">
      <c r="B1370" s="1"/>
      <c r="C1370" s="1"/>
      <c r="D1370" s="1"/>
      <c r="E1370" s="1"/>
      <c r="F1370" s="1"/>
      <c r="G1370" s="1"/>
      <c r="H1370" s="1"/>
      <c r="I1370" s="1"/>
      <c r="J1370" s="1"/>
      <c r="K1370" s="1"/>
      <c r="L1370" s="1"/>
      <c r="M1370" s="1"/>
      <c r="N1370" s="1"/>
      <c r="O1370" s="1"/>
    </row>
    <row r="1371" spans="2:15" x14ac:dyDescent="0.3">
      <c r="B1371" s="1"/>
      <c r="C1371" s="1"/>
      <c r="D1371" s="1"/>
      <c r="E1371" s="1"/>
      <c r="F1371" s="1"/>
      <c r="G1371" s="1"/>
      <c r="H1371" s="1"/>
      <c r="I1371" s="1"/>
      <c r="J1371" s="1"/>
      <c r="K1371" s="1"/>
      <c r="L1371" s="1"/>
      <c r="M1371" s="1"/>
      <c r="N1371" s="1"/>
      <c r="O1371" s="1"/>
    </row>
    <row r="1372" spans="2:15" x14ac:dyDescent="0.3">
      <c r="B1372" s="1"/>
      <c r="C1372" s="1"/>
      <c r="D1372" s="1"/>
      <c r="E1372" s="1"/>
      <c r="F1372" s="1"/>
      <c r="G1372" s="1"/>
      <c r="H1372" s="1"/>
      <c r="I1372" s="1"/>
      <c r="J1372" s="1"/>
      <c r="K1372" s="1"/>
      <c r="L1372" s="1"/>
      <c r="M1372" s="1"/>
      <c r="N1372" s="1"/>
      <c r="O1372" s="1"/>
    </row>
    <row r="1373" spans="2:15" x14ac:dyDescent="0.3">
      <c r="B1373" s="1"/>
      <c r="C1373" s="1"/>
      <c r="D1373" s="1"/>
      <c r="E1373" s="1"/>
      <c r="F1373" s="1"/>
      <c r="G1373" s="1"/>
      <c r="H1373" s="1"/>
      <c r="I1373" s="1"/>
      <c r="J1373" s="1"/>
      <c r="K1373" s="1"/>
      <c r="L1373" s="1"/>
      <c r="M1373" s="1"/>
      <c r="N1373" s="1"/>
      <c r="O1373" s="1"/>
    </row>
    <row r="1374" spans="2:15" x14ac:dyDescent="0.3">
      <c r="B1374" s="1"/>
      <c r="C1374" s="1"/>
      <c r="D1374" s="1"/>
      <c r="E1374" s="1"/>
      <c r="F1374" s="1"/>
      <c r="G1374" s="1"/>
      <c r="H1374" s="1"/>
      <c r="I1374" s="1"/>
      <c r="J1374" s="1"/>
      <c r="K1374" s="1"/>
      <c r="L1374" s="1"/>
      <c r="M1374" s="1"/>
      <c r="N1374" s="1"/>
      <c r="O1374" s="1"/>
    </row>
    <row r="1375" spans="2:15" x14ac:dyDescent="0.3">
      <c r="B1375" s="1"/>
      <c r="C1375" s="1"/>
      <c r="D1375" s="1"/>
      <c r="E1375" s="1"/>
      <c r="F1375" s="1"/>
      <c r="G1375" s="1"/>
      <c r="H1375" s="1"/>
      <c r="I1375" s="1"/>
      <c r="J1375" s="1"/>
      <c r="K1375" s="1"/>
      <c r="L1375" s="1"/>
      <c r="M1375" s="1"/>
      <c r="N1375" s="1"/>
      <c r="O1375" s="1"/>
    </row>
    <row r="1376" spans="2:15" x14ac:dyDescent="0.3">
      <c r="B1376" s="1"/>
      <c r="C1376" s="1"/>
      <c r="D1376" s="1"/>
      <c r="E1376" s="1"/>
      <c r="F1376" s="1"/>
      <c r="G1376" s="1"/>
      <c r="H1376" s="1"/>
      <c r="I1376" s="1"/>
      <c r="J1376" s="1"/>
      <c r="K1376" s="1"/>
      <c r="L1376" s="1"/>
      <c r="M1376" s="1"/>
      <c r="N1376" s="1"/>
      <c r="O1376" s="1"/>
    </row>
    <row r="1377" spans="2:15" x14ac:dyDescent="0.3">
      <c r="B1377" s="1"/>
      <c r="C1377" s="1"/>
      <c r="D1377" s="1"/>
      <c r="E1377" s="1"/>
      <c r="F1377" s="1"/>
      <c r="G1377" s="1"/>
      <c r="H1377" s="1"/>
      <c r="I1377" s="1"/>
      <c r="J1377" s="1"/>
      <c r="K1377" s="1"/>
      <c r="L1377" s="1"/>
      <c r="M1377" s="1"/>
      <c r="N1377" s="1"/>
      <c r="O1377" s="1"/>
    </row>
    <row r="1378" spans="2:15" x14ac:dyDescent="0.3">
      <c r="B1378" s="1"/>
      <c r="C1378" s="1"/>
      <c r="D1378" s="1"/>
      <c r="E1378" s="1"/>
      <c r="F1378" s="1"/>
      <c r="G1378" s="1"/>
      <c r="H1378" s="1"/>
      <c r="I1378" s="1"/>
      <c r="J1378" s="1"/>
      <c r="K1378" s="1"/>
      <c r="L1378" s="1"/>
      <c r="M1378" s="1"/>
      <c r="N1378" s="1"/>
      <c r="O1378" s="1"/>
    </row>
    <row r="1379" spans="2:15" x14ac:dyDescent="0.3">
      <c r="B1379" s="1"/>
      <c r="C1379" s="1"/>
      <c r="D1379" s="1"/>
      <c r="E1379" s="1"/>
      <c r="F1379" s="1"/>
      <c r="G1379" s="1"/>
      <c r="H1379" s="1"/>
      <c r="I1379" s="1"/>
      <c r="J1379" s="1"/>
      <c r="K1379" s="1"/>
      <c r="L1379" s="1"/>
      <c r="M1379" s="1"/>
      <c r="N1379" s="1"/>
      <c r="O1379" s="1"/>
    </row>
    <row r="1380" spans="2:15" x14ac:dyDescent="0.3">
      <c r="B1380" s="1"/>
      <c r="C1380" s="1"/>
      <c r="D1380" s="1"/>
      <c r="E1380" s="1"/>
      <c r="F1380" s="1"/>
      <c r="G1380" s="1"/>
      <c r="H1380" s="1"/>
      <c r="I1380" s="1"/>
      <c r="J1380" s="1"/>
      <c r="K1380" s="1"/>
      <c r="L1380" s="1"/>
      <c r="M1380" s="1"/>
      <c r="N1380" s="1"/>
      <c r="O1380" s="1"/>
    </row>
    <row r="1381" spans="2:15" x14ac:dyDescent="0.3">
      <c r="B1381" s="1"/>
      <c r="C1381" s="1"/>
      <c r="D1381" s="1"/>
      <c r="E1381" s="1"/>
      <c r="F1381" s="1"/>
      <c r="G1381" s="1"/>
      <c r="H1381" s="1"/>
      <c r="I1381" s="1"/>
      <c r="J1381" s="1"/>
      <c r="K1381" s="1"/>
      <c r="L1381" s="1"/>
      <c r="M1381" s="1"/>
      <c r="N1381" s="1"/>
      <c r="O1381" s="1"/>
    </row>
    <row r="1382" spans="2:15" x14ac:dyDescent="0.3">
      <c r="B1382" s="1"/>
      <c r="C1382" s="1"/>
      <c r="D1382" s="1"/>
      <c r="E1382" s="1"/>
      <c r="F1382" s="1"/>
      <c r="G1382" s="1"/>
      <c r="H1382" s="1"/>
      <c r="I1382" s="1"/>
      <c r="J1382" s="1"/>
      <c r="K1382" s="1"/>
      <c r="L1382" s="1"/>
      <c r="M1382" s="1"/>
      <c r="N1382" s="1"/>
      <c r="O1382" s="1"/>
    </row>
    <row r="1383" spans="2:15" x14ac:dyDescent="0.3">
      <c r="B1383" s="1"/>
      <c r="C1383" s="1"/>
      <c r="D1383" s="1"/>
      <c r="E1383" s="1"/>
      <c r="F1383" s="1"/>
      <c r="G1383" s="1"/>
      <c r="H1383" s="1"/>
      <c r="I1383" s="1"/>
      <c r="J1383" s="1"/>
      <c r="K1383" s="1"/>
      <c r="L1383" s="1"/>
      <c r="M1383" s="1"/>
      <c r="N1383" s="1"/>
      <c r="O1383" s="1"/>
    </row>
    <row r="1384" spans="2:15" x14ac:dyDescent="0.3">
      <c r="B1384" s="1"/>
      <c r="C1384" s="1"/>
      <c r="D1384" s="1"/>
      <c r="E1384" s="1"/>
      <c r="F1384" s="1"/>
      <c r="G1384" s="1"/>
      <c r="H1384" s="1"/>
      <c r="I1384" s="1"/>
      <c r="J1384" s="1"/>
      <c r="K1384" s="1"/>
      <c r="L1384" s="1"/>
      <c r="M1384" s="1"/>
      <c r="N1384" s="1"/>
      <c r="O1384" s="1"/>
    </row>
    <row r="1385" spans="2:15" x14ac:dyDescent="0.3">
      <c r="B1385" s="1"/>
      <c r="C1385" s="1"/>
      <c r="D1385" s="1"/>
      <c r="E1385" s="1"/>
      <c r="F1385" s="1"/>
      <c r="G1385" s="1"/>
      <c r="H1385" s="1"/>
      <c r="I1385" s="1"/>
      <c r="J1385" s="1"/>
      <c r="K1385" s="1"/>
      <c r="L1385" s="1"/>
      <c r="M1385" s="1"/>
      <c r="N1385" s="1"/>
      <c r="O1385" s="1"/>
    </row>
    <row r="1386" spans="2:15" x14ac:dyDescent="0.3">
      <c r="B1386" s="1"/>
      <c r="C1386" s="1"/>
      <c r="D1386" s="1"/>
      <c r="E1386" s="1"/>
      <c r="F1386" s="1"/>
      <c r="G1386" s="1"/>
      <c r="H1386" s="1"/>
      <c r="I1386" s="1"/>
      <c r="J1386" s="1"/>
      <c r="K1386" s="1"/>
      <c r="L1386" s="1"/>
      <c r="M1386" s="1"/>
      <c r="N1386" s="1"/>
      <c r="O1386" s="1"/>
    </row>
    <row r="1387" spans="2:15" x14ac:dyDescent="0.3">
      <c r="B1387" s="1"/>
      <c r="C1387" s="1"/>
      <c r="D1387" s="1"/>
      <c r="E1387" s="1"/>
      <c r="F1387" s="1"/>
      <c r="G1387" s="1"/>
      <c r="H1387" s="1"/>
      <c r="I1387" s="1"/>
      <c r="J1387" s="1"/>
      <c r="K1387" s="1"/>
      <c r="L1387" s="1"/>
      <c r="M1387" s="1"/>
      <c r="N1387" s="1"/>
      <c r="O1387" s="1"/>
    </row>
    <row r="1388" spans="2:15" x14ac:dyDescent="0.3">
      <c r="B1388" s="1"/>
      <c r="C1388" s="1"/>
      <c r="D1388" s="1"/>
      <c r="E1388" s="1"/>
      <c r="F1388" s="1"/>
      <c r="G1388" s="1"/>
      <c r="H1388" s="1"/>
      <c r="I1388" s="1"/>
      <c r="J1388" s="1"/>
      <c r="K1388" s="1"/>
      <c r="L1388" s="1"/>
      <c r="M1388" s="1"/>
      <c r="N1388" s="1"/>
      <c r="O1388" s="1"/>
    </row>
    <row r="1389" spans="2:15" x14ac:dyDescent="0.3">
      <c r="B1389" s="1"/>
      <c r="C1389" s="1"/>
      <c r="D1389" s="1"/>
      <c r="E1389" s="1"/>
      <c r="F1389" s="1"/>
      <c r="G1389" s="1"/>
      <c r="H1389" s="1"/>
      <c r="I1389" s="1"/>
      <c r="J1389" s="1"/>
      <c r="K1389" s="1"/>
      <c r="L1389" s="1"/>
      <c r="M1389" s="1"/>
      <c r="N1389" s="1"/>
      <c r="O1389" s="1"/>
    </row>
    <row r="1390" spans="2:15" x14ac:dyDescent="0.3">
      <c r="B1390" s="1"/>
      <c r="C1390" s="1"/>
      <c r="D1390" s="1"/>
      <c r="E1390" s="1"/>
      <c r="F1390" s="1"/>
      <c r="G1390" s="1"/>
      <c r="H1390" s="1"/>
      <c r="I1390" s="1"/>
      <c r="J1390" s="1"/>
      <c r="K1390" s="1"/>
      <c r="L1390" s="1"/>
      <c r="M1390" s="1"/>
      <c r="N1390" s="1"/>
      <c r="O1390" s="1"/>
    </row>
    <row r="1391" spans="2:15" x14ac:dyDescent="0.3">
      <c r="B1391" s="1"/>
      <c r="C1391" s="1"/>
      <c r="D1391" s="1"/>
      <c r="E1391" s="1"/>
      <c r="F1391" s="1"/>
      <c r="G1391" s="1"/>
      <c r="H1391" s="1"/>
      <c r="I1391" s="1"/>
      <c r="J1391" s="1"/>
      <c r="K1391" s="1"/>
      <c r="L1391" s="1"/>
      <c r="M1391" s="1"/>
      <c r="N1391" s="1"/>
      <c r="O1391" s="1"/>
    </row>
    <row r="1392" spans="2:15" x14ac:dyDescent="0.3">
      <c r="B1392" s="1"/>
      <c r="C1392" s="1"/>
      <c r="D1392" s="1"/>
      <c r="E1392" s="1"/>
      <c r="F1392" s="1"/>
      <c r="G1392" s="1"/>
      <c r="H1392" s="1"/>
      <c r="I1392" s="1"/>
      <c r="J1392" s="1"/>
      <c r="K1392" s="1"/>
      <c r="L1392" s="1"/>
      <c r="M1392" s="1"/>
      <c r="N1392" s="1"/>
      <c r="O1392" s="1"/>
    </row>
    <row r="1393" spans="2:15" x14ac:dyDescent="0.3">
      <c r="B1393" s="1"/>
      <c r="C1393" s="1"/>
      <c r="D1393" s="1"/>
      <c r="E1393" s="1"/>
      <c r="F1393" s="1"/>
      <c r="G1393" s="1"/>
      <c r="H1393" s="1"/>
      <c r="I1393" s="1"/>
      <c r="J1393" s="1"/>
      <c r="K1393" s="1"/>
      <c r="L1393" s="1"/>
      <c r="M1393" s="1"/>
      <c r="N1393" s="1"/>
      <c r="O1393" s="1"/>
    </row>
    <row r="1394" spans="2:15" x14ac:dyDescent="0.3">
      <c r="B1394" s="1"/>
      <c r="C1394" s="1"/>
      <c r="D1394" s="1"/>
      <c r="E1394" s="1"/>
      <c r="F1394" s="1"/>
      <c r="G1394" s="1"/>
      <c r="H1394" s="1"/>
      <c r="I1394" s="1"/>
      <c r="J1394" s="1"/>
      <c r="K1394" s="1"/>
      <c r="L1394" s="1"/>
      <c r="M1394" s="1"/>
      <c r="N1394" s="1"/>
      <c r="O1394" s="1"/>
    </row>
    <row r="1395" spans="2:15" x14ac:dyDescent="0.3">
      <c r="B1395" s="1"/>
      <c r="C1395" s="1"/>
      <c r="D1395" s="1"/>
      <c r="E1395" s="1"/>
      <c r="F1395" s="1"/>
      <c r="G1395" s="1"/>
      <c r="H1395" s="1"/>
      <c r="I1395" s="1"/>
      <c r="J1395" s="1"/>
      <c r="K1395" s="1"/>
      <c r="L1395" s="1"/>
      <c r="M1395" s="1"/>
      <c r="N1395" s="1"/>
      <c r="O1395" s="1"/>
    </row>
    <row r="1396" spans="2:15" x14ac:dyDescent="0.3">
      <c r="B1396" s="1"/>
      <c r="C1396" s="1"/>
      <c r="D1396" s="1"/>
      <c r="E1396" s="1"/>
      <c r="F1396" s="1"/>
      <c r="G1396" s="1"/>
      <c r="H1396" s="1"/>
      <c r="I1396" s="1"/>
      <c r="J1396" s="1"/>
      <c r="K1396" s="1"/>
      <c r="L1396" s="1"/>
      <c r="M1396" s="1"/>
      <c r="N1396" s="1"/>
      <c r="O1396" s="1"/>
    </row>
    <row r="1397" spans="2:15" x14ac:dyDescent="0.3">
      <c r="B1397" s="1"/>
      <c r="C1397" s="1"/>
      <c r="D1397" s="1"/>
      <c r="E1397" s="1"/>
      <c r="F1397" s="1"/>
      <c r="G1397" s="1"/>
      <c r="H1397" s="1"/>
      <c r="I1397" s="1"/>
      <c r="J1397" s="1"/>
      <c r="K1397" s="1"/>
      <c r="L1397" s="1"/>
      <c r="M1397" s="1"/>
      <c r="N1397" s="1"/>
      <c r="O1397" s="1"/>
    </row>
    <row r="1398" spans="2:15" x14ac:dyDescent="0.3">
      <c r="B1398" s="1"/>
      <c r="C1398" s="1"/>
      <c r="D1398" s="1"/>
      <c r="E1398" s="1"/>
      <c r="F1398" s="1"/>
      <c r="G1398" s="1"/>
      <c r="H1398" s="1"/>
      <c r="I1398" s="1"/>
      <c r="J1398" s="1"/>
      <c r="K1398" s="1"/>
      <c r="L1398" s="1"/>
      <c r="M1398" s="1"/>
      <c r="N1398" s="1"/>
      <c r="O1398" s="1"/>
    </row>
    <row r="1399" spans="2:15" x14ac:dyDescent="0.3">
      <c r="B1399" s="1"/>
      <c r="C1399" s="1"/>
      <c r="D1399" s="1"/>
      <c r="E1399" s="1"/>
      <c r="F1399" s="1"/>
      <c r="G1399" s="1"/>
      <c r="H1399" s="1"/>
      <c r="I1399" s="1"/>
      <c r="J1399" s="1"/>
      <c r="K1399" s="1"/>
      <c r="L1399" s="1"/>
      <c r="M1399" s="1"/>
      <c r="N1399" s="1"/>
      <c r="O1399" s="1"/>
    </row>
    <row r="1400" spans="2:15" x14ac:dyDescent="0.3">
      <c r="B1400" s="1"/>
      <c r="C1400" s="1"/>
      <c r="D1400" s="1"/>
      <c r="E1400" s="1"/>
      <c r="F1400" s="1"/>
      <c r="G1400" s="1"/>
      <c r="H1400" s="1"/>
      <c r="I1400" s="1"/>
      <c r="J1400" s="1"/>
      <c r="K1400" s="1"/>
      <c r="L1400" s="1"/>
      <c r="M1400" s="1"/>
      <c r="N1400" s="1"/>
      <c r="O1400" s="1"/>
    </row>
    <row r="1401" spans="2:15" x14ac:dyDescent="0.3">
      <c r="B1401" s="1"/>
      <c r="C1401" s="1"/>
      <c r="D1401" s="1"/>
      <c r="E1401" s="1"/>
      <c r="F1401" s="1"/>
      <c r="G1401" s="1"/>
      <c r="H1401" s="1"/>
      <c r="I1401" s="1"/>
      <c r="J1401" s="1"/>
      <c r="K1401" s="1"/>
      <c r="L1401" s="1"/>
      <c r="M1401" s="1"/>
      <c r="N1401" s="1"/>
      <c r="O1401" s="1"/>
    </row>
    <row r="1402" spans="2:15" x14ac:dyDescent="0.3">
      <c r="B1402" s="1"/>
      <c r="C1402" s="1"/>
      <c r="D1402" s="1"/>
      <c r="E1402" s="1"/>
      <c r="F1402" s="1"/>
      <c r="G1402" s="1"/>
      <c r="H1402" s="1"/>
      <c r="I1402" s="1"/>
      <c r="J1402" s="1"/>
      <c r="K1402" s="1"/>
      <c r="L1402" s="1"/>
      <c r="M1402" s="1"/>
      <c r="N1402" s="1"/>
      <c r="O1402" s="1"/>
    </row>
    <row r="1403" spans="2:15" x14ac:dyDescent="0.3">
      <c r="B1403" s="1"/>
      <c r="C1403" s="1"/>
      <c r="D1403" s="1"/>
      <c r="E1403" s="1"/>
      <c r="F1403" s="1"/>
      <c r="G1403" s="1"/>
      <c r="H1403" s="1"/>
      <c r="I1403" s="1"/>
      <c r="J1403" s="1"/>
      <c r="K1403" s="1"/>
      <c r="L1403" s="1"/>
      <c r="M1403" s="1"/>
      <c r="N1403" s="1"/>
      <c r="O1403" s="1"/>
    </row>
    <row r="1404" spans="2:15" x14ac:dyDescent="0.3">
      <c r="B1404" s="1"/>
      <c r="C1404" s="1"/>
      <c r="D1404" s="1"/>
      <c r="E1404" s="1"/>
      <c r="F1404" s="1"/>
      <c r="G1404" s="1"/>
      <c r="H1404" s="1"/>
      <c r="I1404" s="1"/>
      <c r="J1404" s="1"/>
      <c r="K1404" s="1"/>
      <c r="L1404" s="1"/>
      <c r="M1404" s="1"/>
      <c r="N1404" s="1"/>
      <c r="O1404" s="1"/>
    </row>
    <row r="1405" spans="2:15" x14ac:dyDescent="0.3">
      <c r="B1405" s="1"/>
      <c r="C1405" s="1"/>
      <c r="D1405" s="1"/>
      <c r="E1405" s="1"/>
      <c r="F1405" s="1"/>
      <c r="G1405" s="1"/>
      <c r="H1405" s="1"/>
      <c r="I1405" s="1"/>
      <c r="J1405" s="1"/>
      <c r="K1405" s="1"/>
      <c r="L1405" s="1"/>
      <c r="M1405" s="1"/>
      <c r="N1405" s="1"/>
      <c r="O1405" s="1"/>
    </row>
    <row r="1406" spans="2:15" x14ac:dyDescent="0.3">
      <c r="B1406" s="1"/>
      <c r="C1406" s="1"/>
      <c r="D1406" s="1"/>
      <c r="E1406" s="1"/>
      <c r="F1406" s="1"/>
      <c r="G1406" s="1"/>
      <c r="H1406" s="1"/>
      <c r="I1406" s="1"/>
      <c r="J1406" s="1"/>
      <c r="K1406" s="1"/>
      <c r="L1406" s="1"/>
      <c r="M1406" s="1"/>
      <c r="N1406" s="1"/>
      <c r="O1406" s="1"/>
    </row>
    <row r="1407" spans="2:15" x14ac:dyDescent="0.3">
      <c r="B1407" s="1"/>
      <c r="C1407" s="1"/>
      <c r="D1407" s="1"/>
      <c r="E1407" s="1"/>
      <c r="F1407" s="1"/>
      <c r="G1407" s="1"/>
      <c r="H1407" s="1"/>
      <c r="I1407" s="1"/>
      <c r="J1407" s="1"/>
      <c r="K1407" s="1"/>
      <c r="L1407" s="1"/>
      <c r="M1407" s="1"/>
      <c r="N1407" s="1"/>
      <c r="O1407" s="1"/>
    </row>
    <row r="1408" spans="2:15" x14ac:dyDescent="0.3">
      <c r="B1408" s="1"/>
      <c r="C1408" s="1"/>
      <c r="D1408" s="1"/>
      <c r="E1408" s="1"/>
      <c r="F1408" s="1"/>
      <c r="G1408" s="1"/>
      <c r="H1408" s="1"/>
      <c r="I1408" s="1"/>
      <c r="J1408" s="1"/>
      <c r="K1408" s="1"/>
      <c r="L1408" s="1"/>
      <c r="M1408" s="1"/>
      <c r="N1408" s="1"/>
      <c r="O1408" s="1"/>
    </row>
    <row r="1409" spans="2:15" x14ac:dyDescent="0.3">
      <c r="B1409" s="1"/>
      <c r="C1409" s="1"/>
      <c r="D1409" s="1"/>
      <c r="E1409" s="1"/>
      <c r="F1409" s="1"/>
      <c r="G1409" s="1"/>
      <c r="H1409" s="1"/>
      <c r="I1409" s="1"/>
      <c r="J1409" s="1"/>
      <c r="K1409" s="1"/>
      <c r="L1409" s="1"/>
      <c r="M1409" s="1"/>
      <c r="N1409" s="1"/>
      <c r="O1409" s="1"/>
    </row>
    <row r="1410" spans="2:15" x14ac:dyDescent="0.3">
      <c r="B1410" s="1"/>
      <c r="C1410" s="1"/>
      <c r="D1410" s="1"/>
      <c r="E1410" s="1"/>
      <c r="F1410" s="1"/>
      <c r="G1410" s="1"/>
      <c r="H1410" s="1"/>
      <c r="I1410" s="1"/>
      <c r="J1410" s="1"/>
      <c r="K1410" s="1"/>
      <c r="L1410" s="1"/>
      <c r="M1410" s="1"/>
      <c r="N1410" s="1"/>
      <c r="O1410" s="1"/>
    </row>
    <row r="1411" spans="2:15" x14ac:dyDescent="0.3">
      <c r="B1411" s="1"/>
      <c r="C1411" s="1"/>
      <c r="D1411" s="1"/>
      <c r="E1411" s="1"/>
      <c r="F1411" s="1"/>
      <c r="G1411" s="1"/>
      <c r="H1411" s="1"/>
      <c r="I1411" s="1"/>
      <c r="J1411" s="1"/>
      <c r="K1411" s="1"/>
      <c r="L1411" s="1"/>
      <c r="M1411" s="1"/>
      <c r="N1411" s="1"/>
      <c r="O1411" s="1"/>
    </row>
    <row r="1412" spans="2:15" x14ac:dyDescent="0.3">
      <c r="B1412" s="1"/>
      <c r="C1412" s="1"/>
      <c r="D1412" s="1"/>
      <c r="E1412" s="1"/>
      <c r="F1412" s="1"/>
      <c r="G1412" s="1"/>
      <c r="H1412" s="1"/>
      <c r="I1412" s="1"/>
      <c r="J1412" s="1"/>
      <c r="K1412" s="1"/>
      <c r="L1412" s="1"/>
      <c r="M1412" s="1"/>
      <c r="N1412" s="1"/>
      <c r="O1412" s="1"/>
    </row>
    <row r="1413" spans="2:15" x14ac:dyDescent="0.3">
      <c r="B1413" s="1"/>
      <c r="C1413" s="1"/>
      <c r="D1413" s="1"/>
      <c r="E1413" s="1"/>
      <c r="F1413" s="1"/>
      <c r="G1413" s="1"/>
      <c r="H1413" s="1"/>
      <c r="I1413" s="1"/>
      <c r="J1413" s="1"/>
      <c r="K1413" s="1"/>
      <c r="L1413" s="1"/>
      <c r="M1413" s="1"/>
      <c r="N1413" s="1"/>
      <c r="O1413" s="1"/>
    </row>
    <row r="1414" spans="2:15" x14ac:dyDescent="0.3">
      <c r="B1414" s="1"/>
      <c r="C1414" s="1"/>
      <c r="D1414" s="1"/>
      <c r="E1414" s="1"/>
      <c r="F1414" s="1"/>
      <c r="G1414" s="1"/>
      <c r="H1414" s="1"/>
      <c r="I1414" s="1"/>
      <c r="J1414" s="1"/>
      <c r="K1414" s="1"/>
      <c r="L1414" s="1"/>
      <c r="M1414" s="1"/>
      <c r="N1414" s="1"/>
      <c r="O1414" s="1"/>
    </row>
    <row r="1415" spans="2:15" x14ac:dyDescent="0.3">
      <c r="B1415" s="1"/>
      <c r="C1415" s="1"/>
      <c r="D1415" s="1"/>
      <c r="E1415" s="1"/>
      <c r="F1415" s="1"/>
      <c r="G1415" s="1"/>
      <c r="H1415" s="1"/>
      <c r="I1415" s="1"/>
      <c r="J1415" s="1"/>
      <c r="K1415" s="1"/>
      <c r="L1415" s="1"/>
      <c r="M1415" s="1"/>
      <c r="N1415" s="1"/>
      <c r="O1415" s="1"/>
    </row>
    <row r="1416" spans="2:15" x14ac:dyDescent="0.3">
      <c r="B1416" s="1"/>
      <c r="C1416" s="1"/>
      <c r="D1416" s="1"/>
      <c r="E1416" s="1"/>
      <c r="F1416" s="1"/>
      <c r="G1416" s="1"/>
      <c r="H1416" s="1"/>
      <c r="I1416" s="1"/>
      <c r="J1416" s="1"/>
      <c r="K1416" s="1"/>
      <c r="L1416" s="1"/>
      <c r="M1416" s="1"/>
      <c r="N1416" s="1"/>
      <c r="O1416" s="1"/>
    </row>
    <row r="1417" spans="2:15" x14ac:dyDescent="0.3">
      <c r="B1417" s="1"/>
      <c r="C1417" s="1"/>
      <c r="D1417" s="1"/>
      <c r="E1417" s="1"/>
      <c r="F1417" s="1"/>
      <c r="G1417" s="1"/>
      <c r="H1417" s="1"/>
      <c r="I1417" s="1"/>
      <c r="J1417" s="1"/>
      <c r="K1417" s="1"/>
      <c r="L1417" s="1"/>
      <c r="M1417" s="1"/>
      <c r="N1417" s="1"/>
      <c r="O1417" s="1"/>
    </row>
    <row r="1418" spans="2:15" x14ac:dyDescent="0.3">
      <c r="B1418" s="1"/>
      <c r="C1418" s="1"/>
      <c r="D1418" s="1"/>
      <c r="E1418" s="1"/>
      <c r="F1418" s="1"/>
      <c r="G1418" s="1"/>
      <c r="H1418" s="1"/>
      <c r="I1418" s="1"/>
      <c r="J1418" s="1"/>
      <c r="K1418" s="1"/>
      <c r="L1418" s="1"/>
      <c r="M1418" s="1"/>
      <c r="N1418" s="1"/>
      <c r="O1418" s="1"/>
    </row>
    <row r="1419" spans="2:15" x14ac:dyDescent="0.3">
      <c r="B1419" s="1"/>
      <c r="C1419" s="1"/>
      <c r="D1419" s="1"/>
      <c r="E1419" s="1"/>
      <c r="F1419" s="1"/>
      <c r="G1419" s="1"/>
      <c r="H1419" s="1"/>
      <c r="I1419" s="1"/>
      <c r="J1419" s="1"/>
      <c r="K1419" s="1"/>
      <c r="L1419" s="1"/>
      <c r="M1419" s="1"/>
      <c r="N1419" s="1"/>
      <c r="O1419" s="1"/>
    </row>
    <row r="1420" spans="2:15" x14ac:dyDescent="0.3">
      <c r="B1420" s="1"/>
      <c r="C1420" s="1"/>
      <c r="D1420" s="1"/>
      <c r="E1420" s="1"/>
      <c r="F1420" s="1"/>
      <c r="G1420" s="1"/>
      <c r="H1420" s="1"/>
      <c r="I1420" s="1"/>
      <c r="J1420" s="1"/>
      <c r="K1420" s="1"/>
      <c r="L1420" s="1"/>
      <c r="M1420" s="1"/>
      <c r="N1420" s="1"/>
      <c r="O1420" s="1"/>
    </row>
    <row r="1421" spans="2:15" x14ac:dyDescent="0.3">
      <c r="B1421" s="1"/>
      <c r="C1421" s="1"/>
      <c r="D1421" s="1"/>
      <c r="E1421" s="1"/>
      <c r="F1421" s="1"/>
      <c r="G1421" s="1"/>
      <c r="H1421" s="1"/>
      <c r="I1421" s="1"/>
      <c r="J1421" s="1"/>
      <c r="K1421" s="1"/>
      <c r="L1421" s="1"/>
      <c r="M1421" s="1"/>
      <c r="N1421" s="1"/>
      <c r="O1421" s="1"/>
    </row>
    <row r="1422" spans="2:15" x14ac:dyDescent="0.3">
      <c r="B1422" s="1"/>
      <c r="C1422" s="1"/>
      <c r="D1422" s="1"/>
      <c r="E1422" s="1"/>
      <c r="F1422" s="1"/>
      <c r="G1422" s="1"/>
      <c r="H1422" s="1"/>
      <c r="I1422" s="1"/>
      <c r="J1422" s="1"/>
      <c r="K1422" s="1"/>
      <c r="L1422" s="1"/>
      <c r="M1422" s="1"/>
      <c r="N1422" s="1"/>
      <c r="O1422" s="1"/>
    </row>
    <row r="1423" spans="2:15" x14ac:dyDescent="0.3">
      <c r="B1423" s="1"/>
      <c r="C1423" s="1"/>
      <c r="D1423" s="1"/>
      <c r="E1423" s="1"/>
      <c r="F1423" s="1"/>
      <c r="G1423" s="1"/>
      <c r="H1423" s="1"/>
      <c r="I1423" s="1"/>
      <c r="J1423" s="1"/>
      <c r="K1423" s="1"/>
      <c r="L1423" s="1"/>
      <c r="M1423" s="1"/>
      <c r="N1423" s="1"/>
      <c r="O1423" s="1"/>
    </row>
    <row r="1424" spans="2:15" x14ac:dyDescent="0.3">
      <c r="B1424" s="1"/>
      <c r="C1424" s="1"/>
      <c r="D1424" s="1"/>
      <c r="E1424" s="1"/>
      <c r="F1424" s="1"/>
      <c r="G1424" s="1"/>
      <c r="H1424" s="1"/>
      <c r="I1424" s="1"/>
      <c r="J1424" s="1"/>
      <c r="K1424" s="1"/>
      <c r="L1424" s="1"/>
      <c r="M1424" s="1"/>
      <c r="N1424" s="1"/>
      <c r="O1424" s="1"/>
    </row>
    <row r="1425" spans="2:15" x14ac:dyDescent="0.3">
      <c r="B1425" s="1"/>
      <c r="C1425" s="1"/>
      <c r="D1425" s="1"/>
      <c r="E1425" s="1"/>
      <c r="F1425" s="1"/>
      <c r="G1425" s="1"/>
      <c r="H1425" s="1"/>
      <c r="I1425" s="1"/>
      <c r="J1425" s="1"/>
      <c r="K1425" s="1"/>
      <c r="L1425" s="1"/>
      <c r="M1425" s="1"/>
      <c r="N1425" s="1"/>
      <c r="O1425" s="1"/>
    </row>
    <row r="1426" spans="2:15" x14ac:dyDescent="0.3">
      <c r="B1426" s="1"/>
      <c r="C1426" s="1"/>
      <c r="D1426" s="1"/>
      <c r="E1426" s="1"/>
      <c r="F1426" s="1"/>
      <c r="G1426" s="1"/>
      <c r="H1426" s="1"/>
      <c r="I1426" s="1"/>
      <c r="J1426" s="1"/>
      <c r="K1426" s="1"/>
      <c r="L1426" s="1"/>
      <c r="M1426" s="1"/>
      <c r="N1426" s="1"/>
      <c r="O1426" s="1"/>
    </row>
    <row r="1427" spans="2:15" x14ac:dyDescent="0.3">
      <c r="B1427" s="1"/>
      <c r="C1427" s="1"/>
      <c r="D1427" s="1"/>
      <c r="E1427" s="1"/>
      <c r="F1427" s="1"/>
      <c r="G1427" s="1"/>
      <c r="H1427" s="1"/>
      <c r="I1427" s="1"/>
      <c r="J1427" s="1"/>
      <c r="K1427" s="1"/>
      <c r="L1427" s="1"/>
      <c r="M1427" s="1"/>
      <c r="N1427" s="1"/>
      <c r="O1427" s="1"/>
    </row>
    <row r="1428" spans="2:15" x14ac:dyDescent="0.3">
      <c r="B1428" s="1"/>
      <c r="C1428" s="1"/>
      <c r="D1428" s="1"/>
      <c r="E1428" s="1"/>
      <c r="F1428" s="1"/>
      <c r="G1428" s="1"/>
      <c r="H1428" s="1"/>
      <c r="I1428" s="1"/>
      <c r="J1428" s="1"/>
      <c r="K1428" s="1"/>
      <c r="L1428" s="1"/>
      <c r="M1428" s="1"/>
      <c r="N1428" s="1"/>
      <c r="O1428" s="1"/>
    </row>
    <row r="1429" spans="2:15" x14ac:dyDescent="0.3">
      <c r="B1429" s="1"/>
      <c r="C1429" s="1"/>
      <c r="D1429" s="1"/>
      <c r="E1429" s="1"/>
      <c r="F1429" s="1"/>
      <c r="G1429" s="1"/>
      <c r="H1429" s="1"/>
      <c r="I1429" s="1"/>
      <c r="J1429" s="1"/>
      <c r="K1429" s="1"/>
      <c r="L1429" s="1"/>
      <c r="M1429" s="1"/>
      <c r="N1429" s="1"/>
      <c r="O1429" s="1"/>
    </row>
    <row r="1430" spans="2:15" x14ac:dyDescent="0.3">
      <c r="B1430" s="1"/>
      <c r="C1430" s="1"/>
      <c r="D1430" s="1"/>
      <c r="E1430" s="1"/>
      <c r="F1430" s="1"/>
      <c r="G1430" s="1"/>
      <c r="H1430" s="1"/>
      <c r="I1430" s="1"/>
      <c r="J1430" s="1"/>
      <c r="K1430" s="1"/>
      <c r="L1430" s="1"/>
      <c r="M1430" s="1"/>
      <c r="N1430" s="1"/>
      <c r="O1430" s="1"/>
    </row>
    <row r="1431" spans="2:15" x14ac:dyDescent="0.3">
      <c r="B1431" s="1"/>
      <c r="C1431" s="1"/>
      <c r="D1431" s="1"/>
      <c r="E1431" s="1"/>
      <c r="F1431" s="1"/>
      <c r="G1431" s="1"/>
      <c r="H1431" s="1"/>
      <c r="I1431" s="1"/>
      <c r="J1431" s="1"/>
      <c r="K1431" s="1"/>
      <c r="L1431" s="1"/>
      <c r="M1431" s="1"/>
      <c r="N1431" s="1"/>
      <c r="O1431" s="1"/>
    </row>
    <row r="1432" spans="2:15" x14ac:dyDescent="0.3">
      <c r="B1432" s="1"/>
      <c r="C1432" s="1"/>
      <c r="D1432" s="1"/>
      <c r="E1432" s="1"/>
      <c r="F1432" s="1"/>
      <c r="G1432" s="1"/>
      <c r="H1432" s="1"/>
      <c r="I1432" s="1"/>
      <c r="J1432" s="1"/>
      <c r="K1432" s="1"/>
      <c r="L1432" s="1"/>
      <c r="M1432" s="1"/>
      <c r="N1432" s="1"/>
      <c r="O1432" s="1"/>
    </row>
    <row r="1433" spans="2:15" x14ac:dyDescent="0.3">
      <c r="B1433" s="1"/>
      <c r="C1433" s="1"/>
      <c r="D1433" s="1"/>
      <c r="E1433" s="1"/>
      <c r="F1433" s="1"/>
      <c r="G1433" s="1"/>
      <c r="H1433" s="1"/>
      <c r="I1433" s="1"/>
      <c r="J1433" s="1"/>
      <c r="K1433" s="1"/>
      <c r="L1433" s="1"/>
      <c r="M1433" s="1"/>
      <c r="N1433" s="1"/>
      <c r="O1433" s="1"/>
    </row>
    <row r="1434" spans="2:15" x14ac:dyDescent="0.3">
      <c r="B1434" s="1"/>
      <c r="C1434" s="1"/>
      <c r="D1434" s="1"/>
      <c r="E1434" s="1"/>
      <c r="F1434" s="1"/>
      <c r="G1434" s="1"/>
      <c r="H1434" s="1"/>
      <c r="I1434" s="1"/>
      <c r="J1434" s="1"/>
      <c r="K1434" s="1"/>
      <c r="L1434" s="1"/>
      <c r="M1434" s="1"/>
      <c r="N1434" s="1"/>
      <c r="O1434" s="1"/>
    </row>
    <row r="1435" spans="2:15" x14ac:dyDescent="0.3">
      <c r="B1435" s="1"/>
      <c r="C1435" s="1"/>
      <c r="D1435" s="1"/>
      <c r="E1435" s="1"/>
      <c r="F1435" s="1"/>
      <c r="G1435" s="1"/>
      <c r="H1435" s="1"/>
      <c r="I1435" s="1"/>
      <c r="J1435" s="1"/>
      <c r="K1435" s="1"/>
      <c r="L1435" s="1"/>
      <c r="M1435" s="1"/>
      <c r="N1435" s="1"/>
      <c r="O1435" s="1"/>
    </row>
    <row r="1436" spans="2:15" x14ac:dyDescent="0.3">
      <c r="B1436" s="1"/>
      <c r="C1436" s="1"/>
      <c r="D1436" s="1"/>
      <c r="E1436" s="1"/>
      <c r="F1436" s="1"/>
      <c r="G1436" s="1"/>
      <c r="H1436" s="1"/>
      <c r="I1436" s="1"/>
      <c r="J1436" s="1"/>
      <c r="K1436" s="1"/>
      <c r="L1436" s="1"/>
      <c r="M1436" s="1"/>
      <c r="N1436" s="1"/>
      <c r="O1436" s="1"/>
    </row>
    <row r="1437" spans="2:15" x14ac:dyDescent="0.3">
      <c r="B1437" s="1"/>
      <c r="C1437" s="1"/>
      <c r="D1437" s="1"/>
      <c r="E1437" s="1"/>
      <c r="F1437" s="1"/>
      <c r="G1437" s="1"/>
      <c r="H1437" s="1"/>
      <c r="I1437" s="1"/>
      <c r="J1437" s="1"/>
      <c r="K1437" s="1"/>
      <c r="L1437" s="1"/>
      <c r="M1437" s="1"/>
      <c r="N1437" s="1"/>
      <c r="O1437" s="1"/>
    </row>
    <row r="1438" spans="2:15" x14ac:dyDescent="0.3">
      <c r="B1438" s="1"/>
      <c r="C1438" s="1"/>
      <c r="D1438" s="1"/>
      <c r="E1438" s="1"/>
      <c r="F1438" s="1"/>
      <c r="G1438" s="1"/>
      <c r="H1438" s="1"/>
      <c r="I1438" s="1"/>
      <c r="J1438" s="1"/>
      <c r="K1438" s="1"/>
      <c r="L1438" s="1"/>
      <c r="M1438" s="1"/>
      <c r="N1438" s="1"/>
      <c r="O1438" s="1"/>
    </row>
    <row r="1439" spans="2:15" x14ac:dyDescent="0.3">
      <c r="B1439" s="1"/>
      <c r="C1439" s="1"/>
      <c r="D1439" s="1"/>
      <c r="E1439" s="1"/>
      <c r="F1439" s="1"/>
      <c r="G1439" s="1"/>
      <c r="H1439" s="1"/>
      <c r="I1439" s="1"/>
      <c r="J1439" s="1"/>
      <c r="K1439" s="1"/>
      <c r="L1439" s="1"/>
      <c r="M1439" s="1"/>
      <c r="N1439" s="1"/>
      <c r="O1439" s="1"/>
    </row>
    <row r="1440" spans="2:15" x14ac:dyDescent="0.3">
      <c r="B1440" s="1"/>
      <c r="C1440" s="1"/>
      <c r="D1440" s="1"/>
      <c r="E1440" s="1"/>
      <c r="F1440" s="1"/>
      <c r="G1440" s="1"/>
      <c r="H1440" s="1"/>
      <c r="I1440" s="1"/>
      <c r="J1440" s="1"/>
      <c r="K1440" s="1"/>
      <c r="L1440" s="1"/>
      <c r="M1440" s="1"/>
      <c r="N1440" s="1"/>
      <c r="O1440" s="1"/>
    </row>
    <row r="1441" spans="2:15" x14ac:dyDescent="0.3">
      <c r="B1441" s="1"/>
      <c r="C1441" s="1"/>
      <c r="D1441" s="1"/>
      <c r="E1441" s="1"/>
      <c r="F1441" s="1"/>
      <c r="G1441" s="1"/>
      <c r="H1441" s="1"/>
      <c r="I1441" s="1"/>
      <c r="J1441" s="1"/>
      <c r="K1441" s="1"/>
      <c r="L1441" s="1"/>
      <c r="M1441" s="1"/>
      <c r="N1441" s="1"/>
      <c r="O1441" s="1"/>
    </row>
    <row r="1442" spans="2:15" x14ac:dyDescent="0.3">
      <c r="B1442" s="1"/>
      <c r="C1442" s="1"/>
      <c r="D1442" s="1"/>
      <c r="E1442" s="1"/>
      <c r="F1442" s="1"/>
      <c r="G1442" s="1"/>
      <c r="H1442" s="1"/>
      <c r="I1442" s="1"/>
      <c r="J1442" s="1"/>
      <c r="K1442" s="1"/>
      <c r="L1442" s="1"/>
      <c r="M1442" s="1"/>
      <c r="N1442" s="1"/>
      <c r="O1442" s="1"/>
    </row>
    <row r="1443" spans="2:15" x14ac:dyDescent="0.3">
      <c r="B1443" s="1"/>
      <c r="C1443" s="1"/>
      <c r="D1443" s="1"/>
      <c r="E1443" s="1"/>
      <c r="F1443" s="1"/>
      <c r="G1443" s="1"/>
      <c r="H1443" s="1"/>
      <c r="I1443" s="1"/>
      <c r="J1443" s="1"/>
      <c r="K1443" s="1"/>
      <c r="L1443" s="1"/>
      <c r="M1443" s="1"/>
      <c r="N1443" s="1"/>
      <c r="O1443" s="1"/>
    </row>
    <row r="1444" spans="2:15" x14ac:dyDescent="0.3">
      <c r="B1444" s="1"/>
      <c r="C1444" s="1"/>
      <c r="D1444" s="1"/>
      <c r="E1444" s="1"/>
      <c r="F1444" s="1"/>
      <c r="G1444" s="1"/>
      <c r="H1444" s="1"/>
      <c r="I1444" s="1"/>
      <c r="J1444" s="1"/>
      <c r="K1444" s="1"/>
      <c r="L1444" s="1"/>
      <c r="M1444" s="1"/>
      <c r="N1444" s="1"/>
      <c r="O1444" s="1"/>
    </row>
    <row r="1445" spans="2:15" x14ac:dyDescent="0.3">
      <c r="B1445" s="1"/>
      <c r="C1445" s="1"/>
      <c r="D1445" s="1"/>
      <c r="E1445" s="1"/>
      <c r="F1445" s="1"/>
      <c r="G1445" s="1"/>
      <c r="H1445" s="1"/>
      <c r="I1445" s="1"/>
      <c r="J1445" s="1"/>
      <c r="K1445" s="1"/>
      <c r="L1445" s="1"/>
      <c r="M1445" s="1"/>
      <c r="N1445" s="1"/>
      <c r="O1445" s="1"/>
    </row>
    <row r="1446" spans="2:15" x14ac:dyDescent="0.3">
      <c r="B1446" s="1"/>
      <c r="C1446" s="1"/>
      <c r="D1446" s="1"/>
      <c r="E1446" s="1"/>
      <c r="F1446" s="1"/>
      <c r="G1446" s="1"/>
      <c r="H1446" s="1"/>
      <c r="I1446" s="1"/>
      <c r="J1446" s="1"/>
      <c r="K1446" s="1"/>
      <c r="L1446" s="1"/>
      <c r="M1446" s="1"/>
      <c r="N1446" s="1"/>
      <c r="O1446" s="1"/>
    </row>
    <row r="1447" spans="2:15" x14ac:dyDescent="0.3">
      <c r="B1447" s="1"/>
      <c r="C1447" s="1"/>
      <c r="D1447" s="1"/>
      <c r="E1447" s="1"/>
      <c r="F1447" s="1"/>
      <c r="G1447" s="1"/>
      <c r="H1447" s="1"/>
      <c r="I1447" s="1"/>
      <c r="J1447" s="1"/>
      <c r="K1447" s="1"/>
      <c r="L1447" s="1"/>
      <c r="M1447" s="1"/>
      <c r="N1447" s="1"/>
      <c r="O1447" s="1"/>
    </row>
    <row r="1448" spans="2:15" x14ac:dyDescent="0.3">
      <c r="B1448" s="1"/>
      <c r="C1448" s="1"/>
      <c r="D1448" s="1"/>
      <c r="E1448" s="1"/>
      <c r="F1448" s="1"/>
      <c r="G1448" s="1"/>
      <c r="H1448" s="1"/>
      <c r="I1448" s="1"/>
      <c r="J1448" s="1"/>
      <c r="K1448" s="1"/>
      <c r="L1448" s="1"/>
      <c r="M1448" s="1"/>
      <c r="N1448" s="1"/>
      <c r="O1448" s="1"/>
    </row>
    <row r="1449" spans="2:15" x14ac:dyDescent="0.3">
      <c r="B1449" s="1"/>
      <c r="C1449" s="1"/>
      <c r="D1449" s="1"/>
      <c r="E1449" s="1"/>
      <c r="F1449" s="1"/>
      <c r="G1449" s="1"/>
      <c r="H1449" s="1"/>
      <c r="I1449" s="1"/>
      <c r="J1449" s="1"/>
      <c r="K1449" s="1"/>
      <c r="L1449" s="1"/>
      <c r="M1449" s="1"/>
      <c r="N1449" s="1"/>
      <c r="O1449" s="1"/>
    </row>
    <row r="1450" spans="2:15" x14ac:dyDescent="0.3">
      <c r="B1450" s="1"/>
      <c r="C1450" s="1"/>
      <c r="D1450" s="1"/>
      <c r="E1450" s="1"/>
      <c r="F1450" s="1"/>
      <c r="G1450" s="1"/>
      <c r="H1450" s="1"/>
      <c r="I1450" s="1"/>
      <c r="J1450" s="1"/>
      <c r="K1450" s="1"/>
      <c r="L1450" s="1"/>
      <c r="M1450" s="1"/>
      <c r="N1450" s="1"/>
      <c r="O1450" s="1"/>
    </row>
    <row r="1451" spans="2:15" x14ac:dyDescent="0.3">
      <c r="B1451" s="1"/>
      <c r="C1451" s="1"/>
      <c r="D1451" s="1"/>
      <c r="E1451" s="1"/>
      <c r="F1451" s="1"/>
      <c r="G1451" s="1"/>
      <c r="H1451" s="1"/>
      <c r="I1451" s="1"/>
      <c r="J1451" s="1"/>
      <c r="K1451" s="1"/>
      <c r="L1451" s="1"/>
      <c r="M1451" s="1"/>
      <c r="N1451" s="1"/>
      <c r="O1451" s="1"/>
    </row>
    <row r="1452" spans="2:15" x14ac:dyDescent="0.3">
      <c r="B1452" s="1"/>
      <c r="C1452" s="1"/>
      <c r="D1452" s="1"/>
      <c r="E1452" s="1"/>
      <c r="F1452" s="1"/>
      <c r="G1452" s="1"/>
      <c r="H1452" s="1"/>
      <c r="I1452" s="1"/>
      <c r="J1452" s="1"/>
      <c r="K1452" s="1"/>
      <c r="L1452" s="1"/>
      <c r="M1452" s="1"/>
      <c r="N1452" s="1"/>
      <c r="O1452" s="1"/>
    </row>
    <row r="1453" spans="2:15" x14ac:dyDescent="0.3">
      <c r="B1453" s="1"/>
      <c r="C1453" s="1"/>
      <c r="D1453" s="1"/>
      <c r="E1453" s="1"/>
      <c r="F1453" s="1"/>
      <c r="G1453" s="1"/>
      <c r="H1453" s="1"/>
      <c r="I1453" s="1"/>
      <c r="J1453" s="1"/>
      <c r="K1453" s="1"/>
      <c r="L1453" s="1"/>
      <c r="M1453" s="1"/>
      <c r="N1453" s="1"/>
      <c r="O1453" s="1"/>
    </row>
    <row r="1454" spans="2:15" x14ac:dyDescent="0.3">
      <c r="B1454" s="1"/>
      <c r="C1454" s="1"/>
      <c r="D1454" s="1"/>
      <c r="E1454" s="1"/>
      <c r="F1454" s="1"/>
      <c r="G1454" s="1"/>
      <c r="H1454" s="1"/>
      <c r="I1454" s="1"/>
      <c r="J1454" s="1"/>
      <c r="K1454" s="1"/>
      <c r="L1454" s="1"/>
      <c r="M1454" s="1"/>
      <c r="N1454" s="1"/>
      <c r="O1454" s="1"/>
    </row>
    <row r="1455" spans="2:15" x14ac:dyDescent="0.3">
      <c r="B1455" s="1"/>
      <c r="C1455" s="1"/>
      <c r="D1455" s="1"/>
      <c r="E1455" s="1"/>
      <c r="F1455" s="1"/>
      <c r="G1455" s="1"/>
      <c r="H1455" s="1"/>
      <c r="I1455" s="1"/>
      <c r="J1455" s="1"/>
      <c r="K1455" s="1"/>
      <c r="L1455" s="1"/>
      <c r="M1455" s="1"/>
      <c r="N1455" s="1"/>
      <c r="O1455" s="1"/>
    </row>
    <row r="1456" spans="2:15" x14ac:dyDescent="0.3">
      <c r="B1456" s="1"/>
      <c r="C1456" s="1"/>
      <c r="D1456" s="1"/>
      <c r="E1456" s="1"/>
      <c r="F1456" s="1"/>
      <c r="G1456" s="1"/>
      <c r="H1456" s="1"/>
      <c r="I1456" s="1"/>
      <c r="J1456" s="1"/>
      <c r="K1456" s="1"/>
      <c r="L1456" s="1"/>
      <c r="M1456" s="1"/>
      <c r="N1456" s="1"/>
      <c r="O1456" s="1"/>
    </row>
    <row r="1457" spans="2:15" x14ac:dyDescent="0.3">
      <c r="B1457" s="1"/>
      <c r="C1457" s="1"/>
      <c r="D1457" s="1"/>
      <c r="E1457" s="1"/>
      <c r="F1457" s="1"/>
      <c r="G1457" s="1"/>
      <c r="H1457" s="1"/>
      <c r="I1457" s="1"/>
      <c r="J1457" s="1"/>
      <c r="K1457" s="1"/>
      <c r="L1457" s="1"/>
      <c r="M1457" s="1"/>
      <c r="N1457" s="1"/>
      <c r="O1457" s="1"/>
    </row>
    <row r="1458" spans="2:15" x14ac:dyDescent="0.3">
      <c r="B1458" s="1"/>
      <c r="C1458" s="1"/>
      <c r="D1458" s="1"/>
      <c r="E1458" s="1"/>
      <c r="F1458" s="1"/>
      <c r="G1458" s="1"/>
      <c r="H1458" s="1"/>
      <c r="I1458" s="1"/>
      <c r="J1458" s="1"/>
      <c r="K1458" s="1"/>
      <c r="L1458" s="1"/>
      <c r="M1458" s="1"/>
      <c r="N1458" s="1"/>
      <c r="O1458" s="1"/>
    </row>
    <row r="1459" spans="2:15" x14ac:dyDescent="0.3">
      <c r="B1459" s="1"/>
      <c r="C1459" s="1"/>
      <c r="D1459" s="1"/>
      <c r="E1459" s="1"/>
      <c r="F1459" s="1"/>
      <c r="G1459" s="1"/>
      <c r="H1459" s="1"/>
      <c r="I1459" s="1"/>
      <c r="J1459" s="1"/>
      <c r="K1459" s="1"/>
      <c r="L1459" s="1"/>
      <c r="M1459" s="1"/>
      <c r="N1459" s="1"/>
      <c r="O1459" s="1"/>
    </row>
    <row r="1460" spans="2:15" x14ac:dyDescent="0.3">
      <c r="B1460" s="1"/>
      <c r="C1460" s="1"/>
      <c r="D1460" s="1"/>
      <c r="E1460" s="1"/>
      <c r="F1460" s="1"/>
      <c r="G1460" s="1"/>
      <c r="H1460" s="1"/>
      <c r="I1460" s="1"/>
      <c r="J1460" s="1"/>
      <c r="K1460" s="1"/>
      <c r="L1460" s="1"/>
      <c r="M1460" s="1"/>
      <c r="N1460" s="1"/>
      <c r="O1460" s="1"/>
    </row>
    <row r="1461" spans="2:15" x14ac:dyDescent="0.3">
      <c r="B1461" s="1"/>
      <c r="C1461" s="1"/>
      <c r="D1461" s="1"/>
      <c r="E1461" s="1"/>
      <c r="F1461" s="1"/>
      <c r="G1461" s="1"/>
      <c r="H1461" s="1"/>
      <c r="I1461" s="1"/>
      <c r="J1461" s="1"/>
      <c r="K1461" s="1"/>
      <c r="L1461" s="1"/>
      <c r="M1461" s="1"/>
      <c r="N1461" s="1"/>
      <c r="O1461" s="1"/>
    </row>
    <row r="1462" spans="2:15" x14ac:dyDescent="0.3">
      <c r="B1462" s="1"/>
      <c r="C1462" s="1"/>
      <c r="D1462" s="1"/>
      <c r="E1462" s="1"/>
      <c r="F1462" s="1"/>
      <c r="G1462" s="1"/>
      <c r="H1462" s="1"/>
      <c r="I1462" s="1"/>
      <c r="J1462" s="1"/>
      <c r="K1462" s="1"/>
      <c r="L1462" s="1"/>
      <c r="M1462" s="1"/>
      <c r="N1462" s="1"/>
      <c r="O1462" s="1"/>
    </row>
    <row r="1463" spans="2:15" x14ac:dyDescent="0.3">
      <c r="B1463" s="1"/>
      <c r="C1463" s="1"/>
      <c r="D1463" s="1"/>
      <c r="E1463" s="1"/>
      <c r="F1463" s="1"/>
      <c r="G1463" s="1"/>
      <c r="H1463" s="1"/>
      <c r="I1463" s="1"/>
      <c r="J1463" s="1"/>
      <c r="K1463" s="1"/>
      <c r="L1463" s="1"/>
      <c r="M1463" s="1"/>
      <c r="N1463" s="1"/>
      <c r="O1463" s="1"/>
    </row>
    <row r="1464" spans="2:15" x14ac:dyDescent="0.3">
      <c r="B1464" s="1"/>
      <c r="C1464" s="1"/>
      <c r="D1464" s="1"/>
      <c r="E1464" s="1"/>
      <c r="F1464" s="1"/>
      <c r="G1464" s="1"/>
      <c r="H1464" s="1"/>
      <c r="I1464" s="1"/>
      <c r="J1464" s="1"/>
      <c r="K1464" s="1"/>
      <c r="L1464" s="1"/>
      <c r="M1464" s="1"/>
      <c r="N1464" s="1"/>
      <c r="O1464" s="1"/>
    </row>
    <row r="1465" spans="2:15" x14ac:dyDescent="0.3">
      <c r="B1465" s="1"/>
      <c r="C1465" s="1"/>
      <c r="D1465" s="1"/>
      <c r="E1465" s="1"/>
      <c r="F1465" s="1"/>
      <c r="G1465" s="1"/>
      <c r="H1465" s="1"/>
      <c r="I1465" s="1"/>
      <c r="J1465" s="1"/>
      <c r="K1465" s="1"/>
      <c r="L1465" s="1"/>
      <c r="M1465" s="1"/>
      <c r="N1465" s="1"/>
      <c r="O1465" s="1"/>
    </row>
    <row r="1466" spans="2:15" x14ac:dyDescent="0.3">
      <c r="B1466" s="1"/>
      <c r="C1466" s="1"/>
      <c r="D1466" s="1"/>
      <c r="E1466" s="1"/>
      <c r="F1466" s="1"/>
      <c r="G1466" s="1"/>
      <c r="H1466" s="1"/>
      <c r="I1466" s="1"/>
      <c r="J1466" s="1"/>
      <c r="K1466" s="1"/>
      <c r="L1466" s="1"/>
      <c r="M1466" s="1"/>
      <c r="N1466" s="1"/>
      <c r="O1466" s="1"/>
    </row>
    <row r="1467" spans="2:15" x14ac:dyDescent="0.3">
      <c r="B1467" s="1"/>
      <c r="C1467" s="1"/>
      <c r="D1467" s="1"/>
      <c r="E1467" s="1"/>
      <c r="F1467" s="1"/>
      <c r="G1467" s="1"/>
      <c r="H1467" s="1"/>
      <c r="I1467" s="1"/>
      <c r="J1467" s="1"/>
      <c r="K1467" s="1"/>
      <c r="L1467" s="1"/>
      <c r="M1467" s="1"/>
      <c r="N1467" s="1"/>
      <c r="O1467" s="1"/>
    </row>
    <row r="1468" spans="2:15" x14ac:dyDescent="0.3">
      <c r="B1468" s="1"/>
      <c r="C1468" s="1"/>
      <c r="D1468" s="1"/>
      <c r="E1468" s="1"/>
      <c r="F1468" s="1"/>
      <c r="G1468" s="1"/>
      <c r="H1468" s="1"/>
      <c r="I1468" s="1"/>
      <c r="J1468" s="1"/>
      <c r="K1468" s="1"/>
      <c r="L1468" s="1"/>
      <c r="M1468" s="1"/>
      <c r="N1468" s="1"/>
      <c r="O1468" s="1"/>
    </row>
    <row r="1469" spans="2:15" x14ac:dyDescent="0.3">
      <c r="B1469" s="1"/>
      <c r="C1469" s="1"/>
      <c r="D1469" s="1"/>
      <c r="E1469" s="1"/>
      <c r="F1469" s="1"/>
      <c r="G1469" s="1"/>
      <c r="H1469" s="1"/>
      <c r="I1469" s="1"/>
      <c r="J1469" s="1"/>
      <c r="K1469" s="1"/>
      <c r="L1469" s="1"/>
      <c r="M1469" s="1"/>
      <c r="N1469" s="1"/>
      <c r="O1469" s="1"/>
    </row>
    <row r="1470" spans="2:15" x14ac:dyDescent="0.3">
      <c r="B1470" s="1"/>
      <c r="C1470" s="1"/>
      <c r="D1470" s="1"/>
      <c r="E1470" s="1"/>
      <c r="F1470" s="1"/>
      <c r="G1470" s="1"/>
      <c r="H1470" s="1"/>
      <c r="I1470" s="1"/>
      <c r="J1470" s="1"/>
      <c r="K1470" s="1"/>
      <c r="L1470" s="1"/>
      <c r="M1470" s="1"/>
      <c r="N1470" s="1"/>
      <c r="O1470" s="1"/>
    </row>
    <row r="1471" spans="2:15" x14ac:dyDescent="0.3">
      <c r="B1471" s="1"/>
      <c r="C1471" s="1"/>
      <c r="D1471" s="1"/>
      <c r="E1471" s="1"/>
      <c r="F1471" s="1"/>
      <c r="G1471" s="1"/>
      <c r="H1471" s="1"/>
      <c r="I1471" s="1"/>
      <c r="J1471" s="1"/>
      <c r="K1471" s="1"/>
      <c r="L1471" s="1"/>
      <c r="M1471" s="1"/>
      <c r="N1471" s="1"/>
      <c r="O1471" s="1"/>
    </row>
    <row r="1472" spans="2:15" x14ac:dyDescent="0.3">
      <c r="B1472" s="1"/>
      <c r="C1472" s="1"/>
      <c r="D1472" s="1"/>
      <c r="E1472" s="1"/>
      <c r="F1472" s="1"/>
      <c r="G1472" s="1"/>
      <c r="H1472" s="1"/>
      <c r="I1472" s="1"/>
      <c r="J1472" s="1"/>
      <c r="K1472" s="1"/>
      <c r="L1472" s="1"/>
      <c r="M1472" s="1"/>
      <c r="N1472" s="1"/>
      <c r="O1472" s="1"/>
    </row>
    <row r="1473" spans="2:15" x14ac:dyDescent="0.3">
      <c r="B1473" s="1"/>
      <c r="C1473" s="1"/>
      <c r="D1473" s="1"/>
      <c r="E1473" s="1"/>
      <c r="F1473" s="1"/>
      <c r="G1473" s="1"/>
      <c r="H1473" s="1"/>
      <c r="I1473" s="1"/>
      <c r="J1473" s="1"/>
      <c r="K1473" s="1"/>
      <c r="L1473" s="1"/>
      <c r="M1473" s="1"/>
      <c r="N1473" s="1"/>
      <c r="O1473" s="1"/>
    </row>
    <row r="1474" spans="2:15" x14ac:dyDescent="0.3">
      <c r="B1474" s="1"/>
      <c r="C1474" s="1"/>
      <c r="D1474" s="1"/>
      <c r="E1474" s="1"/>
      <c r="F1474" s="1"/>
      <c r="G1474" s="1"/>
      <c r="H1474" s="1"/>
      <c r="I1474" s="1"/>
      <c r="J1474" s="1"/>
      <c r="K1474" s="1"/>
      <c r="L1474" s="1"/>
      <c r="M1474" s="1"/>
      <c r="N1474" s="1"/>
      <c r="O1474" s="1"/>
    </row>
    <row r="1475" spans="2:15" x14ac:dyDescent="0.3">
      <c r="B1475" s="1"/>
      <c r="C1475" s="1"/>
      <c r="D1475" s="1"/>
      <c r="E1475" s="1"/>
      <c r="F1475" s="1"/>
      <c r="G1475" s="1"/>
      <c r="H1475" s="1"/>
      <c r="I1475" s="1"/>
      <c r="J1475" s="1"/>
      <c r="K1475" s="1"/>
      <c r="L1475" s="1"/>
      <c r="M1475" s="1"/>
      <c r="N1475" s="1"/>
      <c r="O1475" s="1"/>
    </row>
    <row r="1476" spans="2:15" x14ac:dyDescent="0.3">
      <c r="B1476" s="1"/>
      <c r="C1476" s="1"/>
      <c r="D1476" s="1"/>
      <c r="E1476" s="1"/>
      <c r="F1476" s="1"/>
      <c r="G1476" s="1"/>
      <c r="H1476" s="1"/>
      <c r="I1476" s="1"/>
      <c r="J1476" s="1"/>
      <c r="K1476" s="1"/>
      <c r="L1476" s="1"/>
      <c r="M1476" s="1"/>
      <c r="N1476" s="1"/>
      <c r="O1476" s="1"/>
    </row>
    <row r="1477" spans="2:15" x14ac:dyDescent="0.3">
      <c r="B1477" s="1"/>
      <c r="C1477" s="1"/>
      <c r="D1477" s="1"/>
      <c r="E1477" s="1"/>
      <c r="F1477" s="1"/>
      <c r="G1477" s="1"/>
      <c r="H1477" s="1"/>
      <c r="I1477" s="1"/>
      <c r="J1477" s="1"/>
      <c r="K1477" s="1"/>
      <c r="L1477" s="1"/>
      <c r="M1477" s="1"/>
      <c r="N1477" s="1"/>
      <c r="O1477" s="1"/>
    </row>
    <row r="1478" spans="2:15" x14ac:dyDescent="0.3">
      <c r="B1478" s="1"/>
      <c r="C1478" s="1"/>
      <c r="D1478" s="1"/>
      <c r="E1478" s="1"/>
      <c r="F1478" s="1"/>
      <c r="G1478" s="1"/>
      <c r="H1478" s="1"/>
      <c r="I1478" s="1"/>
      <c r="J1478" s="1"/>
      <c r="K1478" s="1"/>
      <c r="L1478" s="1"/>
      <c r="M1478" s="1"/>
      <c r="N1478" s="1"/>
      <c r="O1478" s="1"/>
    </row>
    <row r="1479" spans="2:15" x14ac:dyDescent="0.3">
      <c r="B1479" s="1"/>
      <c r="C1479" s="1"/>
      <c r="D1479" s="1"/>
      <c r="E1479" s="1"/>
      <c r="F1479" s="1"/>
      <c r="G1479" s="1"/>
      <c r="H1479" s="1"/>
      <c r="I1479" s="1"/>
      <c r="J1479" s="1"/>
      <c r="K1479" s="1"/>
      <c r="L1479" s="1"/>
      <c r="M1479" s="1"/>
      <c r="N1479" s="1"/>
      <c r="O1479" s="1"/>
    </row>
    <row r="1480" spans="2:15" x14ac:dyDescent="0.3">
      <c r="B1480" s="1"/>
      <c r="C1480" s="1"/>
      <c r="D1480" s="1"/>
      <c r="E1480" s="1"/>
      <c r="F1480" s="1"/>
      <c r="G1480" s="1"/>
      <c r="H1480" s="1"/>
      <c r="I1480" s="1"/>
      <c r="J1480" s="1"/>
      <c r="K1480" s="1"/>
      <c r="L1480" s="1"/>
      <c r="M1480" s="1"/>
      <c r="N1480" s="1"/>
      <c r="O1480" s="1"/>
    </row>
    <row r="1481" spans="2:15" x14ac:dyDescent="0.3">
      <c r="B1481" s="1"/>
      <c r="C1481" s="1"/>
      <c r="D1481" s="1"/>
      <c r="E1481" s="1"/>
      <c r="F1481" s="1"/>
      <c r="G1481" s="1"/>
      <c r="H1481" s="1"/>
      <c r="I1481" s="1"/>
      <c r="J1481" s="1"/>
      <c r="K1481" s="1"/>
      <c r="L1481" s="1"/>
      <c r="M1481" s="1"/>
      <c r="N1481" s="1"/>
      <c r="O1481" s="1"/>
    </row>
    <row r="1482" spans="2:15" x14ac:dyDescent="0.3">
      <c r="B1482" s="1"/>
      <c r="C1482" s="1"/>
      <c r="D1482" s="1"/>
      <c r="E1482" s="1"/>
      <c r="F1482" s="1"/>
      <c r="G1482" s="1"/>
      <c r="H1482" s="1"/>
      <c r="I1482" s="1"/>
      <c r="J1482" s="1"/>
      <c r="K1482" s="1"/>
      <c r="L1482" s="1"/>
      <c r="M1482" s="1"/>
      <c r="N1482" s="1"/>
      <c r="O1482" s="1"/>
    </row>
    <row r="1483" spans="2:15" x14ac:dyDescent="0.3">
      <c r="B1483" s="1"/>
      <c r="C1483" s="1"/>
      <c r="D1483" s="1"/>
      <c r="E1483" s="1"/>
      <c r="F1483" s="1"/>
      <c r="G1483" s="1"/>
      <c r="H1483" s="1"/>
      <c r="I1483" s="1"/>
      <c r="J1483" s="1"/>
      <c r="K1483" s="1"/>
      <c r="L1483" s="1"/>
      <c r="M1483" s="1"/>
      <c r="N1483" s="1"/>
      <c r="O1483" s="1"/>
    </row>
    <row r="1484" spans="2:15" x14ac:dyDescent="0.3">
      <c r="B1484" s="1"/>
      <c r="C1484" s="1"/>
      <c r="D1484" s="1"/>
      <c r="E1484" s="1"/>
      <c r="F1484" s="1"/>
      <c r="G1484" s="1"/>
      <c r="H1484" s="1"/>
      <c r="I1484" s="1"/>
      <c r="J1484" s="1"/>
      <c r="K1484" s="1"/>
      <c r="L1484" s="1"/>
      <c r="M1484" s="1"/>
      <c r="N1484" s="1"/>
      <c r="O1484" s="1"/>
    </row>
    <row r="1485" spans="2:15" x14ac:dyDescent="0.3">
      <c r="B1485" s="1"/>
      <c r="C1485" s="1"/>
      <c r="D1485" s="1"/>
      <c r="E1485" s="1"/>
      <c r="F1485" s="1"/>
      <c r="G1485" s="1"/>
      <c r="H1485" s="1"/>
      <c r="I1485" s="1"/>
      <c r="J1485" s="1"/>
      <c r="K1485" s="1"/>
      <c r="L1485" s="1"/>
      <c r="M1485" s="1"/>
      <c r="N1485" s="1"/>
      <c r="O1485" s="1"/>
    </row>
    <row r="1486" spans="2:15" x14ac:dyDescent="0.3">
      <c r="B1486" s="1"/>
      <c r="C1486" s="1"/>
      <c r="D1486" s="1"/>
      <c r="E1486" s="1"/>
      <c r="F1486" s="1"/>
      <c r="G1486" s="1"/>
      <c r="H1486" s="1"/>
      <c r="I1486" s="1"/>
      <c r="J1486" s="1"/>
      <c r="K1486" s="1"/>
      <c r="L1486" s="1"/>
      <c r="M1486" s="1"/>
      <c r="N1486" s="1"/>
      <c r="O1486" s="1"/>
    </row>
    <row r="1487" spans="2:15" x14ac:dyDescent="0.3">
      <c r="B1487" s="1"/>
      <c r="C1487" s="1"/>
      <c r="D1487" s="1"/>
      <c r="E1487" s="1"/>
      <c r="F1487" s="1"/>
      <c r="G1487" s="1"/>
      <c r="H1487" s="1"/>
      <c r="I1487" s="1"/>
      <c r="J1487" s="1"/>
      <c r="K1487" s="1"/>
      <c r="L1487" s="1"/>
      <c r="M1487" s="1"/>
      <c r="N1487" s="1"/>
      <c r="O1487" s="1"/>
    </row>
    <row r="1488" spans="2:15" x14ac:dyDescent="0.3">
      <c r="B1488" s="1"/>
      <c r="C1488" s="1"/>
      <c r="D1488" s="1"/>
      <c r="E1488" s="1"/>
      <c r="F1488" s="1"/>
      <c r="G1488" s="1"/>
      <c r="H1488" s="1"/>
      <c r="I1488" s="1"/>
      <c r="J1488" s="1"/>
      <c r="K1488" s="1"/>
      <c r="L1488" s="1"/>
      <c r="M1488" s="1"/>
      <c r="N1488" s="1"/>
      <c r="O1488" s="1"/>
    </row>
    <row r="1489" spans="2:15" x14ac:dyDescent="0.3">
      <c r="B1489" s="1"/>
      <c r="C1489" s="1"/>
      <c r="D1489" s="1"/>
      <c r="E1489" s="1"/>
      <c r="F1489" s="1"/>
      <c r="G1489" s="1"/>
      <c r="H1489" s="1"/>
      <c r="I1489" s="1"/>
      <c r="J1489" s="1"/>
      <c r="K1489" s="1"/>
      <c r="L1489" s="1"/>
      <c r="M1489" s="1"/>
      <c r="N1489" s="1"/>
      <c r="O1489" s="1"/>
    </row>
    <row r="1490" spans="2:15" x14ac:dyDescent="0.3">
      <c r="B1490" s="1"/>
      <c r="C1490" s="1"/>
      <c r="D1490" s="1"/>
      <c r="E1490" s="1"/>
      <c r="F1490" s="1"/>
      <c r="G1490" s="1"/>
      <c r="H1490" s="1"/>
      <c r="I1490" s="1"/>
      <c r="J1490" s="1"/>
      <c r="K1490" s="1"/>
      <c r="L1490" s="1"/>
      <c r="M1490" s="1"/>
      <c r="N1490" s="1"/>
      <c r="O1490" s="1"/>
    </row>
    <row r="1491" spans="2:15" x14ac:dyDescent="0.3">
      <c r="B1491" s="1"/>
      <c r="C1491" s="1"/>
      <c r="D1491" s="1"/>
      <c r="E1491" s="1"/>
      <c r="F1491" s="1"/>
      <c r="G1491" s="1"/>
      <c r="H1491" s="1"/>
      <c r="I1491" s="1"/>
      <c r="J1491" s="1"/>
      <c r="K1491" s="1"/>
      <c r="L1491" s="1"/>
      <c r="M1491" s="1"/>
      <c r="N1491" s="1"/>
      <c r="O1491" s="1"/>
    </row>
    <row r="1492" spans="2:15" x14ac:dyDescent="0.3">
      <c r="B1492" s="1"/>
      <c r="C1492" s="1"/>
      <c r="D1492" s="1"/>
      <c r="E1492" s="1"/>
      <c r="F1492" s="1"/>
      <c r="G1492" s="1"/>
      <c r="H1492" s="1"/>
      <c r="I1492" s="1"/>
      <c r="J1492" s="1"/>
      <c r="K1492" s="1"/>
      <c r="L1492" s="1"/>
      <c r="M1492" s="1"/>
      <c r="N1492" s="1"/>
      <c r="O1492" s="1"/>
    </row>
    <row r="1493" spans="2:15" x14ac:dyDescent="0.3">
      <c r="B1493" s="1"/>
      <c r="C1493" s="1"/>
      <c r="D1493" s="1"/>
      <c r="E1493" s="1"/>
      <c r="F1493" s="1"/>
      <c r="G1493" s="1"/>
      <c r="H1493" s="1"/>
      <c r="I1493" s="1"/>
      <c r="J1493" s="1"/>
      <c r="K1493" s="1"/>
      <c r="L1493" s="1"/>
      <c r="M1493" s="1"/>
      <c r="N1493" s="1"/>
      <c r="O1493" s="1"/>
    </row>
    <row r="1494" spans="2:15" x14ac:dyDescent="0.3">
      <c r="B1494" s="1"/>
      <c r="C1494" s="1"/>
      <c r="D1494" s="1"/>
      <c r="E1494" s="1"/>
      <c r="F1494" s="1"/>
      <c r="G1494" s="1"/>
      <c r="H1494" s="1"/>
      <c r="I1494" s="1"/>
      <c r="J1494" s="1"/>
      <c r="K1494" s="1"/>
      <c r="L1494" s="1"/>
      <c r="M1494" s="1"/>
      <c r="N1494" s="1"/>
      <c r="O1494" s="1"/>
    </row>
    <row r="1495" spans="2:15" x14ac:dyDescent="0.3">
      <c r="B1495" s="1"/>
      <c r="C1495" s="1"/>
      <c r="D1495" s="1"/>
      <c r="E1495" s="1"/>
      <c r="F1495" s="1"/>
      <c r="G1495" s="1"/>
      <c r="H1495" s="1"/>
      <c r="I1495" s="1"/>
      <c r="J1495" s="1"/>
      <c r="K1495" s="1"/>
      <c r="L1495" s="1"/>
      <c r="M1495" s="1"/>
      <c r="N1495" s="1"/>
      <c r="O1495" s="1"/>
    </row>
    <row r="1496" spans="2:15" x14ac:dyDescent="0.3">
      <c r="B1496" s="1"/>
      <c r="C1496" s="1"/>
      <c r="D1496" s="1"/>
      <c r="E1496" s="1"/>
      <c r="F1496" s="1"/>
      <c r="G1496" s="1"/>
      <c r="H1496" s="1"/>
      <c r="I1496" s="1"/>
      <c r="J1496" s="1"/>
      <c r="K1496" s="1"/>
      <c r="L1496" s="1"/>
      <c r="M1496" s="1"/>
      <c r="N1496" s="1"/>
      <c r="O1496" s="1"/>
    </row>
    <row r="1497" spans="2:15" x14ac:dyDescent="0.3">
      <c r="B1497" s="1"/>
      <c r="C1497" s="1"/>
      <c r="D1497" s="1"/>
      <c r="E1497" s="1"/>
      <c r="F1497" s="1"/>
      <c r="G1497" s="1"/>
      <c r="H1497" s="1"/>
      <c r="I1497" s="1"/>
      <c r="J1497" s="1"/>
      <c r="K1497" s="1"/>
      <c r="L1497" s="1"/>
      <c r="M1497" s="1"/>
      <c r="N1497" s="1"/>
      <c r="O1497" s="1"/>
    </row>
    <row r="1498" spans="2:15" x14ac:dyDescent="0.3">
      <c r="B1498" s="1"/>
      <c r="C1498" s="1"/>
      <c r="D1498" s="1"/>
      <c r="E1498" s="1"/>
      <c r="F1498" s="1"/>
      <c r="G1498" s="1"/>
      <c r="H1498" s="1"/>
      <c r="I1498" s="1"/>
      <c r="J1498" s="1"/>
      <c r="K1498" s="1"/>
      <c r="L1498" s="1"/>
      <c r="M1498" s="1"/>
      <c r="N1498" s="1"/>
      <c r="O1498" s="1"/>
    </row>
    <row r="1499" spans="2:15" x14ac:dyDescent="0.3">
      <c r="B1499" s="1"/>
      <c r="C1499" s="1"/>
      <c r="D1499" s="1"/>
      <c r="E1499" s="1"/>
      <c r="F1499" s="1"/>
      <c r="G1499" s="1"/>
      <c r="H1499" s="1"/>
      <c r="I1499" s="1"/>
      <c r="J1499" s="1"/>
      <c r="K1499" s="1"/>
      <c r="L1499" s="1"/>
      <c r="M1499" s="1"/>
      <c r="N1499" s="1"/>
      <c r="O1499" s="1"/>
    </row>
    <row r="1500" spans="2:15" x14ac:dyDescent="0.3">
      <c r="B1500" s="1"/>
      <c r="C1500" s="1"/>
      <c r="D1500" s="1"/>
      <c r="E1500" s="1"/>
      <c r="F1500" s="1"/>
      <c r="G1500" s="1"/>
      <c r="H1500" s="1"/>
      <c r="I1500" s="1"/>
      <c r="J1500" s="1"/>
      <c r="K1500" s="1"/>
      <c r="L1500" s="1"/>
      <c r="M1500" s="1"/>
      <c r="N1500" s="1"/>
      <c r="O1500" s="1"/>
    </row>
    <row r="1501" spans="2:15" x14ac:dyDescent="0.3">
      <c r="B1501" s="1"/>
      <c r="C1501" s="1"/>
      <c r="D1501" s="1"/>
      <c r="E1501" s="1"/>
      <c r="F1501" s="1"/>
      <c r="G1501" s="1"/>
      <c r="H1501" s="1"/>
      <c r="I1501" s="1"/>
      <c r="J1501" s="1"/>
      <c r="K1501" s="1"/>
      <c r="L1501" s="1"/>
      <c r="M1501" s="1"/>
      <c r="N1501" s="1"/>
      <c r="O1501" s="1"/>
    </row>
    <row r="1502" spans="2:15" x14ac:dyDescent="0.3">
      <c r="B1502" s="1"/>
      <c r="C1502" s="1"/>
      <c r="D1502" s="1"/>
      <c r="E1502" s="1"/>
      <c r="F1502" s="1"/>
      <c r="G1502" s="1"/>
      <c r="H1502" s="1"/>
      <c r="I1502" s="1"/>
      <c r="J1502" s="1"/>
      <c r="K1502" s="1"/>
      <c r="L1502" s="1"/>
      <c r="M1502" s="1"/>
      <c r="N1502" s="1"/>
      <c r="O1502" s="1"/>
    </row>
    <row r="1503" spans="2:15" x14ac:dyDescent="0.3">
      <c r="B1503" s="1"/>
      <c r="C1503" s="1"/>
      <c r="D1503" s="1"/>
      <c r="E1503" s="1"/>
      <c r="F1503" s="1"/>
      <c r="G1503" s="1"/>
      <c r="H1503" s="1"/>
      <c r="I1503" s="1"/>
      <c r="J1503" s="1"/>
      <c r="K1503" s="1"/>
      <c r="L1503" s="1"/>
      <c r="M1503" s="1"/>
      <c r="N1503" s="1"/>
      <c r="O1503" s="1"/>
    </row>
    <row r="1504" spans="2:15" x14ac:dyDescent="0.3">
      <c r="B1504" s="1"/>
      <c r="C1504" s="1"/>
      <c r="D1504" s="1"/>
      <c r="E1504" s="1"/>
      <c r="F1504" s="1"/>
      <c r="G1504" s="1"/>
      <c r="H1504" s="1"/>
      <c r="I1504" s="1"/>
      <c r="J1504" s="1"/>
      <c r="K1504" s="1"/>
      <c r="L1504" s="1"/>
      <c r="M1504" s="1"/>
      <c r="N1504" s="1"/>
      <c r="O1504" s="1"/>
    </row>
    <row r="1505" spans="2:15" x14ac:dyDescent="0.3">
      <c r="B1505" s="1"/>
      <c r="C1505" s="1"/>
      <c r="D1505" s="1"/>
      <c r="E1505" s="1"/>
      <c r="F1505" s="1"/>
      <c r="G1505" s="1"/>
      <c r="H1505" s="1"/>
      <c r="I1505" s="1"/>
      <c r="J1505" s="1"/>
      <c r="K1505" s="1"/>
      <c r="L1505" s="1"/>
      <c r="M1505" s="1"/>
      <c r="N1505" s="1"/>
      <c r="O1505" s="1"/>
    </row>
    <row r="1506" spans="2:15" x14ac:dyDescent="0.3">
      <c r="B1506" s="1"/>
      <c r="C1506" s="1"/>
      <c r="D1506" s="1"/>
      <c r="E1506" s="1"/>
      <c r="F1506" s="1"/>
      <c r="G1506" s="1"/>
      <c r="H1506" s="1"/>
      <c r="I1506" s="1"/>
      <c r="J1506" s="1"/>
      <c r="K1506" s="1"/>
      <c r="L1506" s="1"/>
      <c r="M1506" s="1"/>
      <c r="N1506" s="1"/>
      <c r="O1506" s="1"/>
    </row>
    <row r="1507" spans="2:15" x14ac:dyDescent="0.3">
      <c r="B1507" s="1"/>
      <c r="C1507" s="1"/>
      <c r="D1507" s="1"/>
      <c r="E1507" s="1"/>
      <c r="F1507" s="1"/>
      <c r="G1507" s="1"/>
      <c r="H1507" s="1"/>
      <c r="I1507" s="1"/>
      <c r="J1507" s="1"/>
      <c r="K1507" s="1"/>
      <c r="L1507" s="1"/>
      <c r="M1507" s="1"/>
      <c r="N1507" s="1"/>
      <c r="O1507" s="1"/>
    </row>
    <row r="1508" spans="2:15" x14ac:dyDescent="0.3">
      <c r="B1508" s="1"/>
      <c r="C1508" s="1"/>
      <c r="D1508" s="1"/>
      <c r="E1508" s="1"/>
      <c r="F1508" s="1"/>
      <c r="G1508" s="1"/>
      <c r="H1508" s="1"/>
      <c r="I1508" s="1"/>
      <c r="J1508" s="1"/>
      <c r="K1508" s="1"/>
      <c r="L1508" s="1"/>
      <c r="M1508" s="1"/>
      <c r="N1508" s="1"/>
      <c r="O1508" s="1"/>
    </row>
    <row r="1509" spans="2:15" x14ac:dyDescent="0.3">
      <c r="B1509" s="1"/>
      <c r="C1509" s="1"/>
      <c r="D1509" s="1"/>
      <c r="E1509" s="1"/>
      <c r="F1509" s="1"/>
      <c r="G1509" s="1"/>
      <c r="H1509" s="1"/>
      <c r="I1509" s="1"/>
      <c r="J1509" s="1"/>
      <c r="K1509" s="1"/>
      <c r="L1509" s="1"/>
      <c r="M1509" s="1"/>
      <c r="N1509" s="1"/>
      <c r="O1509" s="1"/>
    </row>
    <row r="1510" spans="2:15" x14ac:dyDescent="0.3">
      <c r="B1510" s="1"/>
      <c r="C1510" s="1"/>
      <c r="D1510" s="1"/>
      <c r="E1510" s="1"/>
      <c r="F1510" s="1"/>
      <c r="G1510" s="1"/>
      <c r="H1510" s="1"/>
      <c r="I1510" s="1"/>
      <c r="J1510" s="1"/>
      <c r="K1510" s="1"/>
      <c r="L1510" s="1"/>
      <c r="M1510" s="1"/>
      <c r="N1510" s="1"/>
      <c r="O1510" s="1"/>
    </row>
    <row r="1511" spans="2:15" x14ac:dyDescent="0.3">
      <c r="B1511" s="1"/>
      <c r="C1511" s="1"/>
      <c r="D1511" s="1"/>
      <c r="E1511" s="1"/>
      <c r="F1511" s="1"/>
      <c r="G1511" s="1"/>
      <c r="H1511" s="1"/>
      <c r="I1511" s="1"/>
      <c r="J1511" s="1"/>
      <c r="K1511" s="1"/>
      <c r="L1511" s="1"/>
      <c r="M1511" s="1"/>
      <c r="N1511" s="1"/>
      <c r="O1511" s="1"/>
    </row>
    <row r="1512" spans="2:15" x14ac:dyDescent="0.3">
      <c r="B1512" s="1"/>
      <c r="C1512" s="1"/>
      <c r="D1512" s="1"/>
      <c r="E1512" s="1"/>
      <c r="F1512" s="1"/>
      <c r="G1512" s="1"/>
      <c r="H1512" s="1"/>
      <c r="I1512" s="1"/>
      <c r="J1512" s="1"/>
      <c r="K1512" s="1"/>
      <c r="L1512" s="1"/>
      <c r="M1512" s="1"/>
      <c r="N1512" s="1"/>
      <c r="O1512" s="1"/>
    </row>
    <row r="1513" spans="2:15" x14ac:dyDescent="0.3">
      <c r="B1513" s="1"/>
      <c r="C1513" s="1"/>
      <c r="D1513" s="1"/>
      <c r="E1513" s="1"/>
      <c r="F1513" s="1"/>
      <c r="G1513" s="1"/>
      <c r="H1513" s="1"/>
      <c r="I1513" s="1"/>
      <c r="J1513" s="1"/>
      <c r="K1513" s="1"/>
      <c r="L1513" s="1"/>
      <c r="M1513" s="1"/>
      <c r="N1513" s="1"/>
      <c r="O1513" s="1"/>
    </row>
    <row r="1514" spans="2:15" x14ac:dyDescent="0.3">
      <c r="B1514" s="1"/>
      <c r="C1514" s="1"/>
      <c r="D1514" s="1"/>
      <c r="E1514" s="1"/>
      <c r="F1514" s="1"/>
      <c r="G1514" s="1"/>
      <c r="H1514" s="1"/>
      <c r="I1514" s="1"/>
      <c r="J1514" s="1"/>
      <c r="K1514" s="1"/>
      <c r="L1514" s="1"/>
      <c r="M1514" s="1"/>
      <c r="N1514" s="1"/>
      <c r="O1514" s="1"/>
    </row>
    <row r="1515" spans="2:15" x14ac:dyDescent="0.3">
      <c r="B1515" s="1"/>
      <c r="C1515" s="1"/>
      <c r="D1515" s="1"/>
      <c r="E1515" s="1"/>
      <c r="F1515" s="1"/>
      <c r="G1515" s="1"/>
      <c r="H1515" s="1"/>
      <c r="I1515" s="1"/>
      <c r="J1515" s="1"/>
      <c r="K1515" s="1"/>
      <c r="L1515" s="1"/>
      <c r="M1515" s="1"/>
      <c r="N1515" s="1"/>
      <c r="O1515" s="1"/>
    </row>
    <row r="1516" spans="2:15" x14ac:dyDescent="0.3">
      <c r="B1516" s="1"/>
      <c r="C1516" s="1"/>
      <c r="D1516" s="1"/>
      <c r="E1516" s="1"/>
      <c r="F1516" s="1"/>
      <c r="G1516" s="1"/>
      <c r="H1516" s="1"/>
      <c r="I1516" s="1"/>
      <c r="J1516" s="1"/>
      <c r="K1516" s="1"/>
      <c r="L1516" s="1"/>
      <c r="M1516" s="1"/>
      <c r="N1516" s="1"/>
      <c r="O1516" s="1"/>
    </row>
    <row r="1517" spans="2:15" x14ac:dyDescent="0.3">
      <c r="B1517" s="1"/>
      <c r="C1517" s="1"/>
      <c r="D1517" s="1"/>
      <c r="E1517" s="1"/>
      <c r="F1517" s="1"/>
      <c r="G1517" s="1"/>
      <c r="H1517" s="1"/>
      <c r="I1517" s="1"/>
      <c r="J1517" s="1"/>
      <c r="K1517" s="1"/>
      <c r="L1517" s="1"/>
      <c r="M1517" s="1"/>
      <c r="N1517" s="1"/>
      <c r="O1517" s="1"/>
    </row>
    <row r="1518" spans="2:15" x14ac:dyDescent="0.3">
      <c r="B1518" s="1"/>
      <c r="C1518" s="1"/>
      <c r="D1518" s="1"/>
      <c r="E1518" s="1"/>
      <c r="F1518" s="1"/>
      <c r="G1518" s="1"/>
      <c r="H1518" s="1"/>
      <c r="I1518" s="1"/>
      <c r="J1518" s="1"/>
      <c r="K1518" s="1"/>
      <c r="L1518" s="1"/>
      <c r="M1518" s="1"/>
      <c r="N1518" s="1"/>
      <c r="O1518" s="1"/>
    </row>
    <row r="1519" spans="2:15" x14ac:dyDescent="0.3">
      <c r="B1519" s="1"/>
      <c r="C1519" s="1"/>
      <c r="D1519" s="1"/>
      <c r="E1519" s="1"/>
      <c r="F1519" s="1"/>
      <c r="G1519" s="1"/>
      <c r="H1519" s="1"/>
      <c r="I1519" s="1"/>
      <c r="J1519" s="1"/>
      <c r="K1519" s="1"/>
      <c r="L1519" s="1"/>
      <c r="M1519" s="1"/>
      <c r="N1519" s="1"/>
      <c r="O1519" s="1"/>
    </row>
    <row r="1520" spans="2:15" x14ac:dyDescent="0.3">
      <c r="B1520" s="1"/>
      <c r="C1520" s="1"/>
      <c r="D1520" s="1"/>
      <c r="E1520" s="1"/>
      <c r="F1520" s="1"/>
      <c r="G1520" s="1"/>
      <c r="H1520" s="1"/>
      <c r="I1520" s="1"/>
      <c r="J1520" s="1"/>
      <c r="K1520" s="1"/>
      <c r="L1520" s="1"/>
      <c r="M1520" s="1"/>
      <c r="N1520" s="1"/>
      <c r="O1520" s="1"/>
    </row>
    <row r="1521" spans="2:15" x14ac:dyDescent="0.3">
      <c r="B1521" s="1"/>
      <c r="C1521" s="1"/>
      <c r="D1521" s="1"/>
      <c r="E1521" s="1"/>
      <c r="F1521" s="1"/>
      <c r="G1521" s="1"/>
      <c r="H1521" s="1"/>
      <c r="I1521" s="1"/>
      <c r="J1521" s="1"/>
      <c r="K1521" s="1"/>
      <c r="L1521" s="1"/>
      <c r="M1521" s="1"/>
      <c r="N1521" s="1"/>
      <c r="O1521" s="1"/>
    </row>
    <row r="1522" spans="2:15" x14ac:dyDescent="0.3">
      <c r="B1522" s="1"/>
      <c r="C1522" s="1"/>
      <c r="D1522" s="1"/>
      <c r="E1522" s="1"/>
      <c r="F1522" s="1"/>
      <c r="G1522" s="1"/>
      <c r="H1522" s="1"/>
      <c r="I1522" s="1"/>
      <c r="J1522" s="1"/>
      <c r="K1522" s="1"/>
      <c r="L1522" s="1"/>
      <c r="M1522" s="1"/>
      <c r="N1522" s="1"/>
      <c r="O1522" s="1"/>
    </row>
    <row r="1523" spans="2:15" x14ac:dyDescent="0.3">
      <c r="B1523" s="1"/>
      <c r="C1523" s="1"/>
      <c r="D1523" s="1"/>
      <c r="E1523" s="1"/>
      <c r="F1523" s="1"/>
      <c r="G1523" s="1"/>
      <c r="H1523" s="1"/>
      <c r="I1523" s="1"/>
      <c r="J1523" s="1"/>
      <c r="K1523" s="1"/>
      <c r="L1523" s="1"/>
      <c r="M1523" s="1"/>
      <c r="N1523" s="1"/>
      <c r="O1523" s="1"/>
    </row>
    <row r="1524" spans="2:15" x14ac:dyDescent="0.3">
      <c r="B1524" s="1"/>
      <c r="C1524" s="1"/>
      <c r="D1524" s="1"/>
      <c r="E1524" s="1"/>
      <c r="F1524" s="1"/>
      <c r="G1524" s="1"/>
      <c r="H1524" s="1"/>
      <c r="I1524" s="1"/>
      <c r="J1524" s="1"/>
      <c r="K1524" s="1"/>
      <c r="L1524" s="1"/>
      <c r="M1524" s="1"/>
      <c r="N1524" s="1"/>
      <c r="O1524" s="1"/>
    </row>
    <row r="1525" spans="2:15" x14ac:dyDescent="0.3">
      <c r="B1525" s="1"/>
      <c r="C1525" s="1"/>
      <c r="D1525" s="1"/>
      <c r="E1525" s="1"/>
      <c r="F1525" s="1"/>
      <c r="G1525" s="1"/>
      <c r="H1525" s="1"/>
      <c r="I1525" s="1"/>
      <c r="J1525" s="1"/>
      <c r="K1525" s="1"/>
      <c r="L1525" s="1"/>
      <c r="M1525" s="1"/>
      <c r="N1525" s="1"/>
      <c r="O1525" s="1"/>
    </row>
    <row r="1526" spans="2:15" x14ac:dyDescent="0.3">
      <c r="B1526" s="1"/>
      <c r="C1526" s="1"/>
      <c r="D1526" s="1"/>
      <c r="E1526" s="1"/>
      <c r="F1526" s="1"/>
      <c r="G1526" s="1"/>
      <c r="H1526" s="1"/>
      <c r="I1526" s="1"/>
      <c r="J1526" s="1"/>
      <c r="K1526" s="1"/>
      <c r="L1526" s="1"/>
      <c r="M1526" s="1"/>
      <c r="N1526" s="1"/>
      <c r="O1526" s="1"/>
    </row>
    <row r="1527" spans="2:15" x14ac:dyDescent="0.3">
      <c r="B1527" s="1"/>
      <c r="C1527" s="1"/>
      <c r="D1527" s="1"/>
      <c r="E1527" s="1"/>
      <c r="F1527" s="1"/>
      <c r="G1527" s="1"/>
      <c r="H1527" s="1"/>
      <c r="I1527" s="1"/>
      <c r="J1527" s="1"/>
      <c r="K1527" s="1"/>
      <c r="L1527" s="1"/>
      <c r="M1527" s="1"/>
      <c r="N1527" s="1"/>
      <c r="O1527" s="1"/>
    </row>
    <row r="1528" spans="2:15" x14ac:dyDescent="0.3">
      <c r="B1528" s="1"/>
      <c r="C1528" s="1"/>
      <c r="D1528" s="1"/>
      <c r="E1528" s="1"/>
      <c r="F1528" s="1"/>
      <c r="G1528" s="1"/>
      <c r="H1528" s="1"/>
      <c r="I1528" s="1"/>
      <c r="J1528" s="1"/>
      <c r="K1528" s="1"/>
      <c r="L1528" s="1"/>
      <c r="M1528" s="1"/>
      <c r="N1528" s="1"/>
      <c r="O1528" s="1"/>
    </row>
    <row r="1529" spans="2:15" x14ac:dyDescent="0.3">
      <c r="B1529" s="1"/>
      <c r="C1529" s="1"/>
      <c r="D1529" s="1"/>
      <c r="E1529" s="1"/>
      <c r="F1529" s="1"/>
      <c r="G1529" s="1"/>
      <c r="H1529" s="1"/>
      <c r="I1529" s="1"/>
      <c r="J1529" s="1"/>
      <c r="K1529" s="1"/>
      <c r="L1529" s="1"/>
      <c r="M1529" s="1"/>
      <c r="N1529" s="1"/>
      <c r="O1529" s="1"/>
    </row>
    <row r="1530" spans="2:15" x14ac:dyDescent="0.3">
      <c r="B1530" s="1"/>
      <c r="C1530" s="1"/>
      <c r="D1530" s="1"/>
      <c r="E1530" s="1"/>
      <c r="F1530" s="1"/>
      <c r="G1530" s="1"/>
      <c r="H1530" s="1"/>
      <c r="I1530" s="1"/>
      <c r="J1530" s="1"/>
      <c r="K1530" s="1"/>
      <c r="L1530" s="1"/>
      <c r="M1530" s="1"/>
      <c r="N1530" s="1"/>
      <c r="O1530" s="1"/>
    </row>
    <row r="1531" spans="2:15" x14ac:dyDescent="0.3">
      <c r="B1531" s="1"/>
      <c r="C1531" s="1"/>
      <c r="D1531" s="1"/>
      <c r="E1531" s="1"/>
      <c r="F1531" s="1"/>
      <c r="G1531" s="1"/>
      <c r="H1531" s="1"/>
      <c r="I1531" s="1"/>
      <c r="J1531" s="1"/>
      <c r="K1531" s="1"/>
      <c r="L1531" s="1"/>
      <c r="M1531" s="1"/>
      <c r="N1531" s="1"/>
      <c r="O1531" s="1"/>
    </row>
    <row r="1532" spans="2:15" x14ac:dyDescent="0.3">
      <c r="B1532" s="1"/>
      <c r="C1532" s="1"/>
      <c r="D1532" s="1"/>
      <c r="E1532" s="1"/>
      <c r="F1532" s="1"/>
      <c r="G1532" s="1"/>
      <c r="H1532" s="1"/>
      <c r="I1532" s="1"/>
      <c r="J1532" s="1"/>
      <c r="K1532" s="1"/>
      <c r="L1532" s="1"/>
      <c r="M1532" s="1"/>
      <c r="N1532" s="1"/>
      <c r="O1532" s="1"/>
    </row>
    <row r="1533" spans="2:15" x14ac:dyDescent="0.3">
      <c r="B1533" s="1"/>
      <c r="C1533" s="1"/>
      <c r="D1533" s="1"/>
      <c r="E1533" s="1"/>
      <c r="F1533" s="1"/>
      <c r="G1533" s="1"/>
      <c r="H1533" s="1"/>
      <c r="I1533" s="1"/>
      <c r="J1533" s="1"/>
      <c r="K1533" s="1"/>
      <c r="L1533" s="1"/>
      <c r="M1533" s="1"/>
      <c r="N1533" s="1"/>
      <c r="O1533" s="1"/>
    </row>
    <row r="1534" spans="2:15" x14ac:dyDescent="0.3">
      <c r="B1534" s="1"/>
      <c r="C1534" s="1"/>
      <c r="D1534" s="1"/>
      <c r="E1534" s="1"/>
      <c r="F1534" s="1"/>
      <c r="G1534" s="1"/>
      <c r="H1534" s="1"/>
      <c r="I1534" s="1"/>
      <c r="J1534" s="1"/>
      <c r="K1534" s="1"/>
      <c r="L1534" s="1"/>
      <c r="M1534" s="1"/>
      <c r="N1534" s="1"/>
      <c r="O1534" s="1"/>
    </row>
    <row r="1535" spans="2:15" x14ac:dyDescent="0.3">
      <c r="B1535" s="1"/>
      <c r="C1535" s="1"/>
      <c r="D1535" s="1"/>
      <c r="E1535" s="1"/>
      <c r="F1535" s="1"/>
      <c r="G1535" s="1"/>
      <c r="H1535" s="1"/>
      <c r="I1535" s="1"/>
      <c r="J1535" s="1"/>
      <c r="K1535" s="1"/>
      <c r="L1535" s="1"/>
      <c r="M1535" s="1"/>
      <c r="N1535" s="1"/>
      <c r="O1535" s="1"/>
    </row>
    <row r="1536" spans="2:15" x14ac:dyDescent="0.3">
      <c r="B1536" s="1"/>
      <c r="C1536" s="1"/>
      <c r="D1536" s="1"/>
      <c r="E1536" s="1"/>
      <c r="F1536" s="1"/>
      <c r="G1536" s="1"/>
      <c r="H1536" s="1"/>
      <c r="I1536" s="1"/>
      <c r="J1536" s="1"/>
      <c r="K1536" s="1"/>
      <c r="L1536" s="1"/>
      <c r="M1536" s="1"/>
      <c r="N1536" s="1"/>
      <c r="O1536" s="1"/>
    </row>
    <row r="1537" spans="2:15" x14ac:dyDescent="0.3">
      <c r="B1537" s="1"/>
      <c r="C1537" s="1"/>
      <c r="D1537" s="1"/>
      <c r="E1537" s="1"/>
      <c r="F1537" s="1"/>
      <c r="G1537" s="1"/>
      <c r="H1537" s="1"/>
      <c r="I1537" s="1"/>
      <c r="J1537" s="1"/>
      <c r="K1537" s="1"/>
      <c r="L1537" s="1"/>
      <c r="M1537" s="1"/>
      <c r="N1537" s="1"/>
      <c r="O1537" s="1"/>
    </row>
    <row r="1538" spans="2:15" x14ac:dyDescent="0.3">
      <c r="B1538" s="1"/>
      <c r="C1538" s="1"/>
      <c r="D1538" s="1"/>
      <c r="E1538" s="1"/>
      <c r="F1538" s="1"/>
      <c r="G1538" s="1"/>
      <c r="H1538" s="1"/>
      <c r="I1538" s="1"/>
      <c r="J1538" s="1"/>
      <c r="K1538" s="1"/>
      <c r="L1538" s="1"/>
      <c r="M1538" s="1"/>
      <c r="N1538" s="1"/>
      <c r="O1538" s="1"/>
    </row>
    <row r="1539" spans="2:15" x14ac:dyDescent="0.3">
      <c r="B1539" s="1"/>
      <c r="C1539" s="1"/>
      <c r="D1539" s="1"/>
      <c r="E1539" s="1"/>
      <c r="F1539" s="1"/>
      <c r="G1539" s="1"/>
      <c r="H1539" s="1"/>
      <c r="I1539" s="1"/>
      <c r="J1539" s="1"/>
      <c r="K1539" s="1"/>
      <c r="L1539" s="1"/>
      <c r="M1539" s="1"/>
      <c r="N1539" s="1"/>
      <c r="O1539" s="1"/>
    </row>
    <row r="1540" spans="2:15" x14ac:dyDescent="0.3">
      <c r="B1540" s="1"/>
      <c r="C1540" s="1"/>
      <c r="D1540" s="1"/>
      <c r="E1540" s="1"/>
      <c r="F1540" s="1"/>
      <c r="G1540" s="1"/>
      <c r="H1540" s="1"/>
      <c r="I1540" s="1"/>
      <c r="J1540" s="1"/>
      <c r="K1540" s="1"/>
      <c r="L1540" s="1"/>
      <c r="M1540" s="1"/>
      <c r="N1540" s="1"/>
      <c r="O1540" s="1"/>
    </row>
    <row r="1541" spans="2:15" x14ac:dyDescent="0.3">
      <c r="B1541" s="1"/>
      <c r="C1541" s="1"/>
      <c r="D1541" s="1"/>
      <c r="E1541" s="1"/>
      <c r="F1541" s="1"/>
      <c r="G1541" s="1"/>
      <c r="H1541" s="1"/>
      <c r="I1541" s="1"/>
      <c r="J1541" s="1"/>
      <c r="K1541" s="1"/>
      <c r="L1541" s="1"/>
      <c r="M1541" s="1"/>
      <c r="N1541" s="1"/>
      <c r="O1541" s="1"/>
    </row>
    <row r="1542" spans="2:15" x14ac:dyDescent="0.3">
      <c r="B1542" s="1"/>
      <c r="C1542" s="1"/>
      <c r="D1542" s="1"/>
      <c r="E1542" s="1"/>
      <c r="F1542" s="1"/>
      <c r="G1542" s="1"/>
      <c r="H1542" s="1"/>
      <c r="I1542" s="1"/>
      <c r="J1542" s="1"/>
      <c r="K1542" s="1"/>
      <c r="L1542" s="1"/>
      <c r="M1542" s="1"/>
      <c r="N1542" s="1"/>
      <c r="O1542" s="1"/>
    </row>
    <row r="1543" spans="2:15" x14ac:dyDescent="0.3">
      <c r="B1543" s="1"/>
      <c r="C1543" s="1"/>
      <c r="D1543" s="1"/>
      <c r="E1543" s="1"/>
      <c r="F1543" s="1"/>
      <c r="G1543" s="1"/>
      <c r="H1543" s="1"/>
      <c r="I1543" s="1"/>
      <c r="J1543" s="1"/>
      <c r="K1543" s="1"/>
      <c r="L1543" s="1"/>
      <c r="M1543" s="1"/>
      <c r="N1543" s="1"/>
      <c r="O1543" s="1"/>
    </row>
    <row r="1544" spans="2:15" x14ac:dyDescent="0.3">
      <c r="B1544" s="1"/>
      <c r="C1544" s="1"/>
      <c r="D1544" s="1"/>
      <c r="E1544" s="1"/>
      <c r="F1544" s="1"/>
      <c r="G1544" s="1"/>
      <c r="H1544" s="1"/>
      <c r="I1544" s="1"/>
      <c r="J1544" s="1"/>
      <c r="K1544" s="1"/>
      <c r="L1544" s="1"/>
      <c r="M1544" s="1"/>
      <c r="N1544" s="1"/>
      <c r="O1544" s="1"/>
    </row>
    <row r="1545" spans="2:15" x14ac:dyDescent="0.3">
      <c r="B1545" s="1"/>
      <c r="C1545" s="1"/>
      <c r="D1545" s="1"/>
      <c r="E1545" s="1"/>
      <c r="F1545" s="1"/>
      <c r="G1545" s="1"/>
      <c r="H1545" s="1"/>
      <c r="I1545" s="1"/>
      <c r="J1545" s="1"/>
      <c r="K1545" s="1"/>
      <c r="L1545" s="1"/>
      <c r="M1545" s="1"/>
      <c r="N1545" s="1"/>
      <c r="O1545" s="1"/>
    </row>
    <row r="1546" spans="2:15" x14ac:dyDescent="0.3">
      <c r="B1546" s="1"/>
      <c r="C1546" s="1"/>
      <c r="D1546" s="1"/>
      <c r="E1546" s="1"/>
      <c r="F1546" s="1"/>
      <c r="G1546" s="1"/>
      <c r="H1546" s="1"/>
      <c r="I1546" s="1"/>
      <c r="J1546" s="1"/>
      <c r="K1546" s="1"/>
      <c r="L1546" s="1"/>
      <c r="M1546" s="1"/>
      <c r="N1546" s="1"/>
      <c r="O1546" s="1"/>
    </row>
    <row r="1547" spans="2:15" x14ac:dyDescent="0.3">
      <c r="B1547" s="1"/>
      <c r="C1547" s="1"/>
      <c r="D1547" s="1"/>
      <c r="E1547" s="1"/>
      <c r="F1547" s="1"/>
      <c r="G1547" s="1"/>
      <c r="H1547" s="1"/>
      <c r="I1547" s="1"/>
      <c r="J1547" s="1"/>
      <c r="K1547" s="1"/>
      <c r="L1547" s="1"/>
      <c r="M1547" s="1"/>
      <c r="N1547" s="1"/>
      <c r="O1547" s="1"/>
    </row>
    <row r="1548" spans="2:15" x14ac:dyDescent="0.3">
      <c r="B1548" s="1"/>
      <c r="C1548" s="1"/>
      <c r="D1548" s="1"/>
      <c r="E1548" s="1"/>
      <c r="F1548" s="1"/>
      <c r="G1548" s="1"/>
      <c r="H1548" s="1"/>
      <c r="I1548" s="1"/>
      <c r="J1548" s="1"/>
      <c r="K1548" s="1"/>
      <c r="L1548" s="1"/>
      <c r="M1548" s="1"/>
      <c r="N1548" s="1"/>
      <c r="O1548" s="1"/>
    </row>
    <row r="1549" spans="2:15" x14ac:dyDescent="0.3">
      <c r="B1549" s="1"/>
      <c r="C1549" s="1"/>
      <c r="D1549" s="1"/>
      <c r="E1549" s="1"/>
      <c r="F1549" s="1"/>
      <c r="G1549" s="1"/>
      <c r="H1549" s="1"/>
      <c r="I1549" s="1"/>
      <c r="J1549" s="1"/>
      <c r="K1549" s="1"/>
      <c r="L1549" s="1"/>
      <c r="M1549" s="1"/>
      <c r="N1549" s="1"/>
      <c r="O1549" s="1"/>
    </row>
    <row r="1550" spans="2:15" x14ac:dyDescent="0.3">
      <c r="B1550" s="1"/>
      <c r="C1550" s="1"/>
      <c r="D1550" s="1"/>
      <c r="E1550" s="1"/>
      <c r="F1550" s="1"/>
      <c r="G1550" s="1"/>
      <c r="H1550" s="1"/>
      <c r="I1550" s="1"/>
      <c r="J1550" s="1"/>
      <c r="K1550" s="1"/>
      <c r="L1550" s="1"/>
      <c r="M1550" s="1"/>
      <c r="N1550" s="1"/>
      <c r="O1550" s="1"/>
    </row>
    <row r="1551" spans="2:15" x14ac:dyDescent="0.3">
      <c r="B1551" s="1"/>
      <c r="C1551" s="1"/>
      <c r="D1551" s="1"/>
      <c r="E1551" s="1"/>
      <c r="F1551" s="1"/>
      <c r="G1551" s="1"/>
      <c r="H1551" s="1"/>
      <c r="I1551" s="1"/>
      <c r="J1551" s="1"/>
      <c r="K1551" s="1"/>
      <c r="L1551" s="1"/>
      <c r="M1551" s="1"/>
      <c r="N1551" s="1"/>
      <c r="O1551" s="1"/>
    </row>
    <row r="1552" spans="2:15" x14ac:dyDescent="0.3">
      <c r="B1552" s="1"/>
      <c r="C1552" s="1"/>
      <c r="D1552" s="1"/>
      <c r="E1552" s="1"/>
      <c r="F1552" s="1"/>
      <c r="G1552" s="1"/>
      <c r="H1552" s="1"/>
      <c r="I1552" s="1"/>
      <c r="J1552" s="1"/>
      <c r="K1552" s="1"/>
      <c r="L1552" s="1"/>
      <c r="M1552" s="1"/>
      <c r="N1552" s="1"/>
      <c r="O1552" s="1"/>
    </row>
    <row r="1553" spans="2:15" x14ac:dyDescent="0.3">
      <c r="B1553" s="1"/>
      <c r="C1553" s="1"/>
      <c r="D1553" s="1"/>
      <c r="E1553" s="1"/>
      <c r="F1553" s="1"/>
      <c r="G1553" s="1"/>
      <c r="H1553" s="1"/>
      <c r="I1553" s="1"/>
      <c r="J1553" s="1"/>
      <c r="K1553" s="1"/>
      <c r="L1553" s="1"/>
      <c r="M1553" s="1"/>
      <c r="N1553" s="1"/>
      <c r="O1553" s="1"/>
    </row>
    <row r="1554" spans="2:15" x14ac:dyDescent="0.3">
      <c r="B1554" s="1"/>
      <c r="C1554" s="1"/>
      <c r="D1554" s="1"/>
      <c r="E1554" s="1"/>
      <c r="F1554" s="1"/>
      <c r="G1554" s="1"/>
      <c r="H1554" s="1"/>
      <c r="I1554" s="1"/>
      <c r="J1554" s="1"/>
      <c r="K1554" s="1"/>
      <c r="L1554" s="1"/>
      <c r="M1554" s="1"/>
      <c r="N1554" s="1"/>
      <c r="O1554" s="1"/>
    </row>
    <row r="1555" spans="2:15" x14ac:dyDescent="0.3">
      <c r="B1555" s="1"/>
      <c r="C1555" s="1"/>
      <c r="D1555" s="1"/>
      <c r="E1555" s="1"/>
      <c r="F1555" s="1"/>
      <c r="G1555" s="1"/>
      <c r="H1555" s="1"/>
      <c r="I1555" s="1"/>
      <c r="J1555" s="1"/>
      <c r="K1555" s="1"/>
      <c r="L1555" s="1"/>
      <c r="M1555" s="1"/>
      <c r="N1555" s="1"/>
      <c r="O1555" s="1"/>
    </row>
    <row r="1556" spans="2:15" x14ac:dyDescent="0.3">
      <c r="B1556" s="1"/>
      <c r="C1556" s="1"/>
      <c r="D1556" s="1"/>
      <c r="E1556" s="1"/>
      <c r="F1556" s="1"/>
      <c r="G1556" s="1"/>
      <c r="H1556" s="1"/>
      <c r="I1556" s="1"/>
      <c r="J1556" s="1"/>
      <c r="K1556" s="1"/>
      <c r="L1556" s="1"/>
      <c r="M1556" s="1"/>
      <c r="N1556" s="1"/>
      <c r="O1556" s="1"/>
    </row>
    <row r="1557" spans="2:15" x14ac:dyDescent="0.3">
      <c r="B1557" s="1"/>
      <c r="C1557" s="1"/>
      <c r="D1557" s="1"/>
      <c r="E1557" s="1"/>
      <c r="F1557" s="1"/>
      <c r="G1557" s="1"/>
      <c r="H1557" s="1"/>
      <c r="I1557" s="1"/>
      <c r="J1557" s="1"/>
      <c r="K1557" s="1"/>
      <c r="L1557" s="1"/>
      <c r="M1557" s="1"/>
      <c r="N1557" s="1"/>
      <c r="O1557" s="1"/>
    </row>
    <row r="1558" spans="2:15" x14ac:dyDescent="0.3">
      <c r="B1558" s="1"/>
      <c r="C1558" s="1"/>
      <c r="D1558" s="1"/>
      <c r="E1558" s="1"/>
      <c r="F1558" s="1"/>
      <c r="G1558" s="1"/>
      <c r="H1558" s="1"/>
      <c r="I1558" s="1"/>
      <c r="J1558" s="1"/>
      <c r="K1558" s="1"/>
      <c r="L1558" s="1"/>
      <c r="M1558" s="1"/>
      <c r="N1558" s="1"/>
      <c r="O1558" s="1"/>
    </row>
    <row r="1559" spans="2:15" x14ac:dyDescent="0.3">
      <c r="B1559" s="1"/>
      <c r="C1559" s="1"/>
      <c r="D1559" s="1"/>
      <c r="E1559" s="1"/>
      <c r="F1559" s="1"/>
      <c r="G1559" s="1"/>
      <c r="H1559" s="1"/>
      <c r="I1559" s="1"/>
      <c r="J1559" s="1"/>
      <c r="K1559" s="1"/>
      <c r="L1559" s="1"/>
      <c r="M1559" s="1"/>
      <c r="N1559" s="1"/>
      <c r="O1559" s="1"/>
    </row>
    <row r="1560" spans="2:15" x14ac:dyDescent="0.3">
      <c r="B1560" s="1"/>
      <c r="C1560" s="1"/>
      <c r="D1560" s="1"/>
      <c r="E1560" s="1"/>
      <c r="F1560" s="1"/>
      <c r="G1560" s="1"/>
      <c r="H1560" s="1"/>
      <c r="I1560" s="1"/>
      <c r="J1560" s="1"/>
      <c r="K1560" s="1"/>
      <c r="L1560" s="1"/>
      <c r="M1560" s="1"/>
      <c r="N1560" s="1"/>
      <c r="O1560" s="1"/>
    </row>
    <row r="1561" spans="2:15" x14ac:dyDescent="0.3">
      <c r="B1561" s="1"/>
      <c r="C1561" s="1"/>
      <c r="D1561" s="1"/>
      <c r="E1561" s="1"/>
      <c r="F1561" s="1"/>
      <c r="G1561" s="1"/>
      <c r="H1561" s="1"/>
      <c r="I1561" s="1"/>
      <c r="J1561" s="1"/>
      <c r="K1561" s="1"/>
      <c r="L1561" s="1"/>
      <c r="M1561" s="1"/>
      <c r="N1561" s="1"/>
      <c r="O1561" s="1"/>
    </row>
    <row r="1562" spans="2:15" x14ac:dyDescent="0.3">
      <c r="B1562" s="1"/>
      <c r="C1562" s="1"/>
      <c r="D1562" s="1"/>
      <c r="E1562" s="1"/>
      <c r="F1562" s="1"/>
      <c r="G1562" s="1"/>
      <c r="H1562" s="1"/>
      <c r="I1562" s="1"/>
      <c r="J1562" s="1"/>
      <c r="K1562" s="1"/>
      <c r="L1562" s="1"/>
      <c r="M1562" s="1"/>
      <c r="N1562" s="1"/>
      <c r="O1562" s="1"/>
    </row>
    <row r="1563" spans="2:15" x14ac:dyDescent="0.3">
      <c r="B1563" s="1"/>
      <c r="C1563" s="1"/>
      <c r="D1563" s="1"/>
      <c r="E1563" s="1"/>
      <c r="F1563" s="1"/>
      <c r="G1563" s="1"/>
      <c r="H1563" s="1"/>
      <c r="I1563" s="1"/>
      <c r="J1563" s="1"/>
      <c r="K1563" s="1"/>
      <c r="L1563" s="1"/>
      <c r="M1563" s="1"/>
      <c r="N1563" s="1"/>
      <c r="O1563" s="1"/>
    </row>
    <row r="1564" spans="2:15" x14ac:dyDescent="0.3">
      <c r="B1564" s="1"/>
      <c r="C1564" s="1"/>
      <c r="D1564" s="1"/>
      <c r="E1564" s="1"/>
      <c r="F1564" s="1"/>
      <c r="G1564" s="1"/>
      <c r="H1564" s="1"/>
      <c r="I1564" s="1"/>
      <c r="J1564" s="1"/>
      <c r="K1564" s="1"/>
      <c r="L1564" s="1"/>
      <c r="M1564" s="1"/>
      <c r="N1564" s="1"/>
      <c r="O1564" s="1"/>
    </row>
    <row r="1565" spans="2:15" x14ac:dyDescent="0.3">
      <c r="B1565" s="1"/>
      <c r="C1565" s="1"/>
      <c r="D1565" s="1"/>
      <c r="E1565" s="1"/>
      <c r="F1565" s="1"/>
      <c r="G1565" s="1"/>
      <c r="H1565" s="1"/>
      <c r="I1565" s="1"/>
      <c r="J1565" s="1"/>
      <c r="K1565" s="1"/>
      <c r="L1565" s="1"/>
      <c r="M1565" s="1"/>
      <c r="N1565" s="1"/>
      <c r="O1565" s="1"/>
    </row>
    <row r="1566" spans="2:15" x14ac:dyDescent="0.3">
      <c r="B1566" s="1"/>
      <c r="C1566" s="1"/>
      <c r="D1566" s="1"/>
      <c r="E1566" s="1"/>
      <c r="F1566" s="1"/>
      <c r="G1566" s="1"/>
      <c r="H1566" s="1"/>
      <c r="I1566" s="1"/>
      <c r="J1566" s="1"/>
      <c r="K1566" s="1"/>
      <c r="L1566" s="1"/>
      <c r="M1566" s="1"/>
      <c r="N1566" s="1"/>
      <c r="O1566" s="1"/>
    </row>
    <row r="1567" spans="2:15" x14ac:dyDescent="0.3">
      <c r="B1567" s="1"/>
      <c r="C1567" s="1"/>
      <c r="D1567" s="1"/>
      <c r="E1567" s="1"/>
      <c r="F1567" s="1"/>
      <c r="G1567" s="1"/>
      <c r="H1567" s="1"/>
      <c r="I1567" s="1"/>
      <c r="J1567" s="1"/>
      <c r="K1567" s="1"/>
      <c r="L1567" s="1"/>
      <c r="M1567" s="1"/>
      <c r="N1567" s="1"/>
      <c r="O1567" s="1"/>
    </row>
    <row r="1568" spans="2:15" x14ac:dyDescent="0.3">
      <c r="B1568" s="1"/>
      <c r="C1568" s="1"/>
      <c r="D1568" s="1"/>
      <c r="E1568" s="1"/>
      <c r="F1568" s="1"/>
      <c r="G1568" s="1"/>
      <c r="H1568" s="1"/>
      <c r="I1568" s="1"/>
      <c r="J1568" s="1"/>
      <c r="K1568" s="1"/>
      <c r="L1568" s="1"/>
      <c r="M1568" s="1"/>
      <c r="N1568" s="1"/>
      <c r="O1568" s="1"/>
    </row>
    <row r="1569" spans="2:15" x14ac:dyDescent="0.3">
      <c r="B1569" s="1"/>
      <c r="C1569" s="1"/>
      <c r="D1569" s="1"/>
      <c r="E1569" s="1"/>
      <c r="F1569" s="1"/>
      <c r="G1569" s="1"/>
      <c r="H1569" s="1"/>
      <c r="I1569" s="1"/>
      <c r="J1569" s="1"/>
      <c r="K1569" s="1"/>
      <c r="L1569" s="1"/>
      <c r="M1569" s="1"/>
      <c r="N1569" s="1"/>
      <c r="O1569" s="1"/>
    </row>
    <row r="1570" spans="2:15" x14ac:dyDescent="0.3">
      <c r="B1570" s="1"/>
      <c r="C1570" s="1"/>
      <c r="D1570" s="1"/>
      <c r="E1570" s="1"/>
      <c r="F1570" s="1"/>
      <c r="G1570" s="1"/>
      <c r="H1570" s="1"/>
      <c r="I1570" s="1"/>
      <c r="J1570" s="1"/>
      <c r="K1570" s="1"/>
      <c r="L1570" s="1"/>
      <c r="M1570" s="1"/>
      <c r="N1570" s="1"/>
      <c r="O1570" s="1"/>
    </row>
    <row r="1571" spans="2:15" x14ac:dyDescent="0.3">
      <c r="B1571" s="1"/>
      <c r="C1571" s="1"/>
      <c r="D1571" s="1"/>
      <c r="E1571" s="1"/>
      <c r="F1571" s="1"/>
      <c r="G1571" s="1"/>
      <c r="H1571" s="1"/>
      <c r="I1571" s="1"/>
      <c r="J1571" s="1"/>
      <c r="K1571" s="1"/>
      <c r="L1571" s="1"/>
      <c r="M1571" s="1"/>
      <c r="N1571" s="1"/>
      <c r="O1571" s="1"/>
    </row>
    <row r="1572" spans="2:15" x14ac:dyDescent="0.3">
      <c r="B1572" s="1"/>
      <c r="C1572" s="1"/>
      <c r="D1572" s="1"/>
      <c r="E1572" s="1"/>
      <c r="F1572" s="1"/>
      <c r="G1572" s="1"/>
      <c r="H1572" s="1"/>
      <c r="I1572" s="1"/>
      <c r="J1572" s="1"/>
      <c r="K1572" s="1"/>
      <c r="L1572" s="1"/>
      <c r="M1572" s="1"/>
      <c r="N1572" s="1"/>
      <c r="O1572" s="1"/>
    </row>
    <row r="1573" spans="2:15" x14ac:dyDescent="0.3">
      <c r="B1573" s="1"/>
      <c r="C1573" s="1"/>
      <c r="D1573" s="1"/>
      <c r="E1573" s="1"/>
      <c r="F1573" s="1"/>
      <c r="G1573" s="1"/>
      <c r="H1573" s="1"/>
      <c r="I1573" s="1"/>
      <c r="J1573" s="1"/>
      <c r="K1573" s="1"/>
      <c r="L1573" s="1"/>
      <c r="M1573" s="1"/>
      <c r="N1573" s="1"/>
      <c r="O1573" s="1"/>
    </row>
    <row r="1574" spans="2:15" x14ac:dyDescent="0.3">
      <c r="B1574" s="1"/>
      <c r="C1574" s="1"/>
      <c r="D1574" s="1"/>
      <c r="E1574" s="1"/>
      <c r="F1574" s="1"/>
      <c r="G1574" s="1"/>
      <c r="H1574" s="1"/>
      <c r="I1574" s="1"/>
      <c r="J1574" s="1"/>
      <c r="K1574" s="1"/>
      <c r="L1574" s="1"/>
      <c r="M1574" s="1"/>
      <c r="N1574" s="1"/>
      <c r="O1574" s="1"/>
    </row>
    <row r="1575" spans="2:15" x14ac:dyDescent="0.3">
      <c r="B1575" s="1"/>
      <c r="C1575" s="1"/>
      <c r="D1575" s="1"/>
      <c r="E1575" s="1"/>
      <c r="F1575" s="1"/>
      <c r="G1575" s="1"/>
      <c r="H1575" s="1"/>
      <c r="I1575" s="1"/>
      <c r="J1575" s="1"/>
      <c r="K1575" s="1"/>
      <c r="L1575" s="1"/>
      <c r="M1575" s="1"/>
      <c r="N1575" s="1"/>
      <c r="O1575" s="1"/>
    </row>
    <row r="1576" spans="2:15" x14ac:dyDescent="0.3">
      <c r="B1576" s="1"/>
      <c r="C1576" s="1"/>
      <c r="D1576" s="1"/>
      <c r="E1576" s="1"/>
      <c r="F1576" s="1"/>
      <c r="G1576" s="1"/>
      <c r="H1576" s="1"/>
      <c r="I1576" s="1"/>
      <c r="J1576" s="1"/>
      <c r="K1576" s="1"/>
      <c r="L1576" s="1"/>
      <c r="M1576" s="1"/>
      <c r="N1576" s="1"/>
      <c r="O1576" s="1"/>
    </row>
    <row r="1577" spans="2:15" x14ac:dyDescent="0.3">
      <c r="B1577" s="1"/>
      <c r="C1577" s="1"/>
      <c r="D1577" s="1"/>
      <c r="E1577" s="1"/>
      <c r="F1577" s="1"/>
      <c r="G1577" s="1"/>
      <c r="H1577" s="1"/>
      <c r="I1577" s="1"/>
      <c r="J1577" s="1"/>
      <c r="K1577" s="1"/>
      <c r="L1577" s="1"/>
      <c r="M1577" s="1"/>
      <c r="N1577" s="1"/>
      <c r="O1577" s="1"/>
    </row>
    <row r="1578" spans="2:15" x14ac:dyDescent="0.3">
      <c r="B1578" s="1"/>
      <c r="C1578" s="1"/>
      <c r="D1578" s="1"/>
      <c r="E1578" s="1"/>
      <c r="F1578" s="1"/>
      <c r="G1578" s="1"/>
      <c r="H1578" s="1"/>
      <c r="I1578" s="1"/>
      <c r="J1578" s="1"/>
      <c r="K1578" s="1"/>
      <c r="L1578" s="1"/>
      <c r="M1578" s="1"/>
      <c r="N1578" s="1"/>
      <c r="O1578" s="1"/>
    </row>
    <row r="1579" spans="2:15" x14ac:dyDescent="0.3">
      <c r="B1579" s="1"/>
      <c r="C1579" s="1"/>
      <c r="D1579" s="1"/>
      <c r="E1579" s="1"/>
      <c r="F1579" s="1"/>
      <c r="G1579" s="1"/>
      <c r="H1579" s="1"/>
      <c r="I1579" s="1"/>
      <c r="J1579" s="1"/>
      <c r="K1579" s="1"/>
      <c r="L1579" s="1"/>
      <c r="M1579" s="1"/>
      <c r="N1579" s="1"/>
      <c r="O1579" s="1"/>
    </row>
    <row r="1580" spans="2:15" x14ac:dyDescent="0.3">
      <c r="B1580" s="1"/>
      <c r="C1580" s="1"/>
      <c r="D1580" s="1"/>
      <c r="E1580" s="1"/>
      <c r="F1580" s="1"/>
      <c r="G1580" s="1"/>
      <c r="H1580" s="1"/>
      <c r="I1580" s="1"/>
      <c r="J1580" s="1"/>
      <c r="K1580" s="1"/>
      <c r="L1580" s="1"/>
      <c r="M1580" s="1"/>
      <c r="N1580" s="1"/>
      <c r="O1580" s="1"/>
    </row>
    <row r="1581" spans="2:15" x14ac:dyDescent="0.3">
      <c r="B1581" s="1"/>
      <c r="C1581" s="1"/>
      <c r="D1581" s="1"/>
      <c r="E1581" s="1"/>
      <c r="F1581" s="1"/>
      <c r="G1581" s="1"/>
      <c r="H1581" s="1"/>
      <c r="I1581" s="1"/>
      <c r="J1581" s="1"/>
      <c r="K1581" s="1"/>
      <c r="L1581" s="1"/>
      <c r="M1581" s="1"/>
      <c r="N1581" s="1"/>
      <c r="O1581" s="1"/>
    </row>
    <row r="1582" spans="2:15" x14ac:dyDescent="0.3">
      <c r="B1582" s="1"/>
      <c r="C1582" s="1"/>
      <c r="D1582" s="1"/>
      <c r="E1582" s="1"/>
      <c r="F1582" s="1"/>
      <c r="G1582" s="1"/>
      <c r="H1582" s="1"/>
      <c r="I1582" s="1"/>
      <c r="J1582" s="1"/>
      <c r="K1582" s="1"/>
      <c r="L1582" s="1"/>
      <c r="M1582" s="1"/>
      <c r="N1582" s="1"/>
      <c r="O1582" s="1"/>
    </row>
    <row r="1583" spans="2:15" x14ac:dyDescent="0.3">
      <c r="B1583" s="1"/>
      <c r="C1583" s="1"/>
      <c r="D1583" s="1"/>
      <c r="E1583" s="1"/>
      <c r="F1583" s="1"/>
      <c r="G1583" s="1"/>
      <c r="H1583" s="1"/>
      <c r="I1583" s="1"/>
      <c r="J1583" s="1"/>
      <c r="K1583" s="1"/>
      <c r="L1583" s="1"/>
      <c r="M1583" s="1"/>
      <c r="N1583" s="1"/>
      <c r="O1583" s="1"/>
    </row>
    <row r="1584" spans="2:15" x14ac:dyDescent="0.3">
      <c r="B1584" s="1"/>
      <c r="C1584" s="1"/>
      <c r="D1584" s="1"/>
      <c r="E1584" s="1"/>
      <c r="F1584" s="1"/>
      <c r="G1584" s="1"/>
      <c r="H1584" s="1"/>
      <c r="I1584" s="1"/>
      <c r="J1584" s="1"/>
      <c r="K1584" s="1"/>
      <c r="L1584" s="1"/>
      <c r="M1584" s="1"/>
      <c r="N1584" s="1"/>
      <c r="O1584" s="1"/>
    </row>
    <row r="1585" spans="2:15" x14ac:dyDescent="0.3">
      <c r="B1585" s="1"/>
      <c r="C1585" s="1"/>
      <c r="D1585" s="1"/>
      <c r="E1585" s="1"/>
      <c r="F1585" s="1"/>
      <c r="G1585" s="1"/>
      <c r="H1585" s="1"/>
      <c r="I1585" s="1"/>
      <c r="J1585" s="1"/>
      <c r="K1585" s="1"/>
      <c r="L1585" s="1"/>
      <c r="M1585" s="1"/>
      <c r="N1585" s="1"/>
      <c r="O1585" s="1"/>
    </row>
    <row r="1586" spans="2:15" x14ac:dyDescent="0.3">
      <c r="B1586" s="1"/>
      <c r="C1586" s="1"/>
      <c r="D1586" s="1"/>
      <c r="E1586" s="1"/>
      <c r="F1586" s="1"/>
      <c r="G1586" s="1"/>
      <c r="H1586" s="1"/>
      <c r="I1586" s="1"/>
      <c r="J1586" s="1"/>
      <c r="K1586" s="1"/>
      <c r="L1586" s="1"/>
      <c r="M1586" s="1"/>
      <c r="N1586" s="1"/>
      <c r="O1586" s="1"/>
    </row>
    <row r="1587" spans="2:15" x14ac:dyDescent="0.3">
      <c r="B1587" s="1"/>
      <c r="C1587" s="1"/>
      <c r="D1587" s="1"/>
      <c r="E1587" s="1"/>
      <c r="F1587" s="1"/>
      <c r="G1587" s="1"/>
      <c r="H1587" s="1"/>
      <c r="I1587" s="1"/>
      <c r="J1587" s="1"/>
      <c r="K1587" s="1"/>
      <c r="L1587" s="1"/>
      <c r="M1587" s="1"/>
      <c r="N1587" s="1"/>
      <c r="O1587" s="1"/>
    </row>
    <row r="1588" spans="2:15" x14ac:dyDescent="0.3">
      <c r="B1588" s="1"/>
      <c r="C1588" s="1"/>
      <c r="D1588" s="1"/>
      <c r="E1588" s="1"/>
      <c r="F1588" s="1"/>
      <c r="G1588" s="1"/>
      <c r="H1588" s="1"/>
      <c r="I1588" s="1"/>
      <c r="J1588" s="1"/>
      <c r="K1588" s="1"/>
      <c r="L1588" s="1"/>
      <c r="M1588" s="1"/>
      <c r="N1588" s="1"/>
      <c r="O1588" s="1"/>
    </row>
    <row r="1589" spans="2:15" x14ac:dyDescent="0.3">
      <c r="B1589" s="1"/>
      <c r="C1589" s="1"/>
      <c r="D1589" s="1"/>
      <c r="E1589" s="1"/>
      <c r="F1589" s="1"/>
      <c r="G1589" s="1"/>
      <c r="H1589" s="1"/>
      <c r="I1589" s="1"/>
      <c r="J1589" s="1"/>
      <c r="K1589" s="1"/>
      <c r="L1589" s="1"/>
      <c r="M1589" s="1"/>
      <c r="N1589" s="1"/>
      <c r="O1589" s="1"/>
    </row>
    <row r="1590" spans="2:15" x14ac:dyDescent="0.3">
      <c r="B1590" s="1"/>
      <c r="C1590" s="1"/>
      <c r="D1590" s="1"/>
      <c r="E1590" s="1"/>
      <c r="F1590" s="1"/>
      <c r="G1590" s="1"/>
      <c r="H1590" s="1"/>
      <c r="I1590" s="1"/>
      <c r="J1590" s="1"/>
      <c r="K1590" s="1"/>
      <c r="L1590" s="1"/>
      <c r="M1590" s="1"/>
      <c r="N1590" s="1"/>
      <c r="O1590" s="1"/>
    </row>
    <row r="1591" spans="2:15" x14ac:dyDescent="0.3">
      <c r="B1591" s="1"/>
      <c r="C1591" s="1"/>
      <c r="D1591" s="1"/>
      <c r="E1591" s="1"/>
      <c r="F1591" s="1"/>
      <c r="G1591" s="1"/>
      <c r="H1591" s="1"/>
      <c r="I1591" s="1"/>
      <c r="J1591" s="1"/>
      <c r="K1591" s="1"/>
      <c r="L1591" s="1"/>
      <c r="M1591" s="1"/>
      <c r="N1591" s="1"/>
      <c r="O1591" s="1"/>
    </row>
    <row r="1592" spans="2:15" x14ac:dyDescent="0.3">
      <c r="B1592" s="1"/>
      <c r="C1592" s="1"/>
      <c r="D1592" s="1"/>
      <c r="E1592" s="1"/>
      <c r="F1592" s="1"/>
      <c r="G1592" s="1"/>
      <c r="H1592" s="1"/>
      <c r="I1592" s="1"/>
      <c r="J1592" s="1"/>
      <c r="K1592" s="1"/>
      <c r="L1592" s="1"/>
      <c r="M1592" s="1"/>
      <c r="N1592" s="1"/>
      <c r="O1592" s="1"/>
    </row>
    <row r="1593" spans="2:15" x14ac:dyDescent="0.3">
      <c r="B1593" s="1"/>
      <c r="C1593" s="1"/>
      <c r="D1593" s="1"/>
      <c r="E1593" s="1"/>
      <c r="F1593" s="1"/>
      <c r="G1593" s="1"/>
      <c r="H1593" s="1"/>
      <c r="I1593" s="1"/>
      <c r="J1593" s="1"/>
      <c r="K1593" s="1"/>
      <c r="L1593" s="1"/>
      <c r="M1593" s="1"/>
      <c r="N1593" s="1"/>
      <c r="O1593" s="1"/>
    </row>
    <row r="1594" spans="2:15" x14ac:dyDescent="0.3">
      <c r="B1594" s="1"/>
      <c r="C1594" s="1"/>
      <c r="D1594" s="1"/>
      <c r="E1594" s="1"/>
      <c r="F1594" s="1"/>
      <c r="G1594" s="1"/>
      <c r="H1594" s="1"/>
      <c r="I1594" s="1"/>
      <c r="J1594" s="1"/>
      <c r="K1594" s="1"/>
      <c r="L1594" s="1"/>
      <c r="M1594" s="1"/>
      <c r="N1594" s="1"/>
      <c r="O1594" s="1"/>
    </row>
    <row r="1595" spans="2:15" x14ac:dyDescent="0.3">
      <c r="B1595" s="1"/>
      <c r="C1595" s="1"/>
      <c r="D1595" s="1"/>
      <c r="E1595" s="1"/>
      <c r="F1595" s="1"/>
      <c r="G1595" s="1"/>
      <c r="H1595" s="1"/>
      <c r="I1595" s="1"/>
      <c r="J1595" s="1"/>
      <c r="K1595" s="1"/>
      <c r="L1595" s="1"/>
      <c r="M1595" s="1"/>
      <c r="N1595" s="1"/>
      <c r="O1595" s="1"/>
    </row>
    <row r="1596" spans="2:15" x14ac:dyDescent="0.3">
      <c r="B1596" s="1"/>
      <c r="C1596" s="1"/>
      <c r="D1596" s="1"/>
      <c r="E1596" s="1"/>
      <c r="F1596" s="1"/>
      <c r="G1596" s="1"/>
      <c r="H1596" s="1"/>
      <c r="I1596" s="1"/>
      <c r="J1596" s="1"/>
      <c r="K1596" s="1"/>
      <c r="L1596" s="1"/>
      <c r="M1596" s="1"/>
      <c r="N1596" s="1"/>
      <c r="O1596" s="1"/>
    </row>
    <row r="1597" spans="2:15" x14ac:dyDescent="0.3">
      <c r="B1597" s="1"/>
      <c r="C1597" s="1"/>
      <c r="D1597" s="1"/>
      <c r="E1597" s="1"/>
      <c r="F1597" s="1"/>
      <c r="G1597" s="1"/>
      <c r="H1597" s="1"/>
      <c r="I1597" s="1"/>
      <c r="J1597" s="1"/>
      <c r="K1597" s="1"/>
      <c r="L1597" s="1"/>
      <c r="M1597" s="1"/>
      <c r="N1597" s="1"/>
      <c r="O1597" s="1"/>
    </row>
    <row r="1598" spans="2:15" x14ac:dyDescent="0.3">
      <c r="B1598" s="1"/>
      <c r="C1598" s="1"/>
      <c r="D1598" s="1"/>
      <c r="E1598" s="1"/>
      <c r="F1598" s="1"/>
      <c r="G1598" s="1"/>
      <c r="H1598" s="1"/>
      <c r="I1598" s="1"/>
      <c r="J1598" s="1"/>
      <c r="K1598" s="1"/>
      <c r="L1598" s="1"/>
      <c r="M1598" s="1"/>
      <c r="N1598" s="1"/>
      <c r="O1598" s="1"/>
    </row>
    <row r="1599" spans="2:15" x14ac:dyDescent="0.3">
      <c r="B1599" s="1"/>
      <c r="C1599" s="1"/>
      <c r="D1599" s="1"/>
      <c r="E1599" s="1"/>
      <c r="F1599" s="1"/>
      <c r="G1599" s="1"/>
      <c r="H1599" s="1"/>
      <c r="I1599" s="1"/>
      <c r="J1599" s="1"/>
      <c r="K1599" s="1"/>
      <c r="L1599" s="1"/>
      <c r="M1599" s="1"/>
      <c r="N1599" s="1"/>
      <c r="O1599" s="1"/>
    </row>
    <row r="1600" spans="2:15" x14ac:dyDescent="0.3">
      <c r="B1600" s="1"/>
      <c r="C1600" s="1"/>
      <c r="D1600" s="1"/>
      <c r="E1600" s="1"/>
      <c r="F1600" s="1"/>
      <c r="G1600" s="1"/>
      <c r="H1600" s="1"/>
      <c r="I1600" s="1"/>
      <c r="J1600" s="1"/>
      <c r="K1600" s="1"/>
      <c r="L1600" s="1"/>
      <c r="M1600" s="1"/>
      <c r="N1600" s="1"/>
      <c r="O1600" s="1"/>
    </row>
    <row r="1601" spans="2:15" x14ac:dyDescent="0.3">
      <c r="B1601" s="1"/>
      <c r="C1601" s="1"/>
      <c r="D1601" s="1"/>
      <c r="E1601" s="1"/>
      <c r="F1601" s="1"/>
      <c r="G1601" s="1"/>
      <c r="H1601" s="1"/>
      <c r="I1601" s="1"/>
      <c r="J1601" s="1"/>
      <c r="K1601" s="1"/>
      <c r="L1601" s="1"/>
      <c r="M1601" s="1"/>
      <c r="N1601" s="1"/>
      <c r="O1601" s="1"/>
    </row>
    <row r="1602" spans="2:15" x14ac:dyDescent="0.3">
      <c r="B1602" s="1"/>
      <c r="C1602" s="1"/>
      <c r="D1602" s="1"/>
      <c r="E1602" s="1"/>
      <c r="F1602" s="1"/>
      <c r="G1602" s="1"/>
      <c r="H1602" s="1"/>
      <c r="I1602" s="1"/>
      <c r="J1602" s="1"/>
      <c r="K1602" s="1"/>
      <c r="L1602" s="1"/>
      <c r="M1602" s="1"/>
      <c r="N1602" s="1"/>
      <c r="O1602" s="1"/>
    </row>
    <row r="1603" spans="2:15" x14ac:dyDescent="0.3">
      <c r="B1603" s="1"/>
      <c r="C1603" s="1"/>
      <c r="D1603" s="1"/>
      <c r="E1603" s="1"/>
      <c r="F1603" s="1"/>
      <c r="G1603" s="1"/>
      <c r="H1603" s="1"/>
      <c r="I1603" s="1"/>
      <c r="J1603" s="1"/>
      <c r="K1603" s="1"/>
      <c r="L1603" s="1"/>
      <c r="M1603" s="1"/>
      <c r="N1603" s="1"/>
      <c r="O1603" s="1"/>
    </row>
    <row r="1604" spans="2:15" x14ac:dyDescent="0.3">
      <c r="B1604" s="1"/>
      <c r="C1604" s="1"/>
      <c r="D1604" s="1"/>
      <c r="E1604" s="1"/>
      <c r="F1604" s="1"/>
      <c r="G1604" s="1"/>
      <c r="H1604" s="1"/>
      <c r="I1604" s="1"/>
      <c r="J1604" s="1"/>
      <c r="K1604" s="1"/>
      <c r="L1604" s="1"/>
      <c r="M1604" s="1"/>
      <c r="N1604" s="1"/>
      <c r="O1604" s="1"/>
    </row>
    <row r="1605" spans="2:15" x14ac:dyDescent="0.3">
      <c r="B1605" s="1"/>
      <c r="C1605" s="1"/>
      <c r="D1605" s="1"/>
      <c r="E1605" s="1"/>
      <c r="F1605" s="1"/>
      <c r="G1605" s="1"/>
      <c r="H1605" s="1"/>
      <c r="I1605" s="1"/>
      <c r="J1605" s="1"/>
      <c r="K1605" s="1"/>
      <c r="L1605" s="1"/>
      <c r="M1605" s="1"/>
      <c r="N1605" s="1"/>
      <c r="O1605" s="1"/>
    </row>
    <row r="1606" spans="2:15" x14ac:dyDescent="0.3">
      <c r="B1606" s="1"/>
      <c r="C1606" s="1"/>
      <c r="D1606" s="1"/>
      <c r="E1606" s="1"/>
      <c r="F1606" s="1"/>
      <c r="G1606" s="1"/>
      <c r="H1606" s="1"/>
      <c r="I1606" s="1"/>
      <c r="J1606" s="1"/>
      <c r="K1606" s="1"/>
      <c r="L1606" s="1"/>
      <c r="M1606" s="1"/>
      <c r="N1606" s="1"/>
      <c r="O1606" s="1"/>
    </row>
    <row r="1607" spans="2:15" x14ac:dyDescent="0.3">
      <c r="B1607" s="1"/>
      <c r="C1607" s="1"/>
      <c r="D1607" s="1"/>
      <c r="E1607" s="1"/>
      <c r="F1607" s="1"/>
      <c r="G1607" s="1"/>
      <c r="H1607" s="1"/>
      <c r="I1607" s="1"/>
      <c r="J1607" s="1"/>
      <c r="K1607" s="1"/>
      <c r="L1607" s="1"/>
      <c r="M1607" s="1"/>
      <c r="N1607" s="1"/>
      <c r="O1607" s="1"/>
    </row>
    <row r="1608" spans="2:15" x14ac:dyDescent="0.3">
      <c r="B1608" s="1"/>
      <c r="C1608" s="1"/>
      <c r="D1608" s="1"/>
      <c r="E1608" s="1"/>
      <c r="F1608" s="1"/>
      <c r="G1608" s="1"/>
      <c r="H1608" s="1"/>
      <c r="I1608" s="1"/>
      <c r="J1608" s="1"/>
      <c r="K1608" s="1"/>
      <c r="L1608" s="1"/>
      <c r="M1608" s="1"/>
      <c r="N1608" s="1"/>
      <c r="O1608" s="1"/>
    </row>
    <row r="1609" spans="2:15" x14ac:dyDescent="0.3">
      <c r="B1609" s="1"/>
      <c r="C1609" s="1"/>
      <c r="D1609" s="1"/>
      <c r="E1609" s="1"/>
      <c r="F1609" s="1"/>
      <c r="G1609" s="1"/>
      <c r="H1609" s="1"/>
      <c r="I1609" s="1"/>
      <c r="J1609" s="1"/>
      <c r="K1609" s="1"/>
      <c r="L1609" s="1"/>
      <c r="M1609" s="1"/>
      <c r="N1609" s="1"/>
      <c r="O1609" s="1"/>
    </row>
    <row r="1610" spans="2:15" x14ac:dyDescent="0.3">
      <c r="B1610" s="1"/>
      <c r="C1610" s="1"/>
      <c r="D1610" s="1"/>
      <c r="E1610" s="1"/>
      <c r="F1610" s="1"/>
      <c r="G1610" s="1"/>
      <c r="H1610" s="1"/>
      <c r="I1610" s="1"/>
      <c r="J1610" s="1"/>
      <c r="K1610" s="1"/>
      <c r="L1610" s="1"/>
      <c r="M1610" s="1"/>
      <c r="N1610" s="1"/>
      <c r="O1610" s="1"/>
    </row>
    <row r="1611" spans="2:15" x14ac:dyDescent="0.3">
      <c r="B1611" s="1"/>
      <c r="C1611" s="1"/>
      <c r="D1611" s="1"/>
      <c r="E1611" s="1"/>
      <c r="F1611" s="1"/>
      <c r="G1611" s="1"/>
      <c r="H1611" s="1"/>
      <c r="I1611" s="1"/>
      <c r="J1611" s="1"/>
      <c r="K1611" s="1"/>
      <c r="L1611" s="1"/>
      <c r="M1611" s="1"/>
      <c r="N1611" s="1"/>
      <c r="O1611" s="1"/>
    </row>
    <row r="1612" spans="2:15" x14ac:dyDescent="0.3">
      <c r="B1612" s="1"/>
      <c r="C1612" s="1"/>
      <c r="D1612" s="1"/>
      <c r="E1612" s="1"/>
      <c r="F1612" s="1"/>
      <c r="G1612" s="1"/>
      <c r="H1612" s="1"/>
      <c r="I1612" s="1"/>
      <c r="J1612" s="1"/>
      <c r="K1612" s="1"/>
      <c r="L1612" s="1"/>
      <c r="M1612" s="1"/>
      <c r="N1612" s="1"/>
      <c r="O1612" s="1"/>
    </row>
    <row r="1613" spans="2:15" x14ac:dyDescent="0.3">
      <c r="B1613" s="1"/>
      <c r="C1613" s="1"/>
      <c r="D1613" s="1"/>
      <c r="E1613" s="1"/>
      <c r="F1613" s="1"/>
      <c r="G1613" s="1"/>
      <c r="H1613" s="1"/>
      <c r="I1613" s="1"/>
      <c r="J1613" s="1"/>
      <c r="K1613" s="1"/>
      <c r="L1613" s="1"/>
      <c r="M1613" s="1"/>
      <c r="N1613" s="1"/>
      <c r="O1613" s="1"/>
    </row>
    <row r="1614" spans="2:15" x14ac:dyDescent="0.3">
      <c r="B1614" s="1"/>
      <c r="C1614" s="1"/>
      <c r="D1614" s="1"/>
      <c r="E1614" s="1"/>
      <c r="F1614" s="1"/>
      <c r="G1614" s="1"/>
      <c r="H1614" s="1"/>
      <c r="I1614" s="1"/>
      <c r="J1614" s="1"/>
      <c r="K1614" s="1"/>
      <c r="L1614" s="1"/>
      <c r="M1614" s="1"/>
      <c r="N1614" s="1"/>
      <c r="O1614" s="1"/>
    </row>
    <row r="1615" spans="2:15" x14ac:dyDescent="0.3">
      <c r="B1615" s="1"/>
      <c r="C1615" s="1"/>
      <c r="D1615" s="1"/>
      <c r="E1615" s="1"/>
      <c r="F1615" s="1"/>
      <c r="G1615" s="1"/>
      <c r="H1615" s="1"/>
      <c r="I1615" s="1"/>
      <c r="J1615" s="1"/>
      <c r="K1615" s="1"/>
      <c r="L1615" s="1"/>
      <c r="M1615" s="1"/>
      <c r="N1615" s="1"/>
      <c r="O1615" s="1"/>
    </row>
    <row r="1616" spans="2:15" x14ac:dyDescent="0.3">
      <c r="B1616" s="1"/>
      <c r="C1616" s="1"/>
      <c r="D1616" s="1"/>
      <c r="E1616" s="1"/>
      <c r="F1616" s="1"/>
      <c r="G1616" s="1"/>
      <c r="H1616" s="1"/>
      <c r="I1616" s="1"/>
      <c r="J1616" s="1"/>
      <c r="K1616" s="1"/>
      <c r="L1616" s="1"/>
      <c r="M1616" s="1"/>
      <c r="N1616" s="1"/>
      <c r="O1616" s="1"/>
    </row>
    <row r="1617" spans="2:15" x14ac:dyDescent="0.3">
      <c r="B1617" s="1"/>
      <c r="C1617" s="1"/>
      <c r="D1617" s="1"/>
      <c r="E1617" s="1"/>
      <c r="F1617" s="1"/>
      <c r="G1617" s="1"/>
      <c r="H1617" s="1"/>
      <c r="I1617" s="1"/>
      <c r="J1617" s="1"/>
      <c r="K1617" s="1"/>
      <c r="L1617" s="1"/>
      <c r="M1617" s="1"/>
      <c r="N1617" s="1"/>
      <c r="O1617" s="1"/>
    </row>
    <row r="1618" spans="2:15" x14ac:dyDescent="0.3">
      <c r="B1618" s="1"/>
      <c r="C1618" s="1"/>
      <c r="D1618" s="1"/>
      <c r="E1618" s="1"/>
      <c r="F1618" s="1"/>
      <c r="G1618" s="1"/>
      <c r="H1618" s="1"/>
      <c r="I1618" s="1"/>
      <c r="J1618" s="1"/>
      <c r="K1618" s="1"/>
      <c r="L1618" s="1"/>
      <c r="M1618" s="1"/>
      <c r="N1618" s="1"/>
      <c r="O1618" s="1"/>
    </row>
    <row r="1619" spans="2:15" x14ac:dyDescent="0.3">
      <c r="B1619" s="1"/>
      <c r="C1619" s="1"/>
      <c r="D1619" s="1"/>
      <c r="E1619" s="1"/>
      <c r="F1619" s="1"/>
      <c r="G1619" s="1"/>
      <c r="H1619" s="1"/>
      <c r="I1619" s="1"/>
      <c r="J1619" s="1"/>
      <c r="K1619" s="1"/>
      <c r="L1619" s="1"/>
      <c r="M1619" s="1"/>
      <c r="N1619" s="1"/>
      <c r="O1619" s="1"/>
    </row>
    <row r="1620" spans="2:15" x14ac:dyDescent="0.3">
      <c r="B1620" s="1"/>
      <c r="C1620" s="1"/>
      <c r="D1620" s="1"/>
      <c r="E1620" s="1"/>
      <c r="F1620" s="1"/>
      <c r="G1620" s="1"/>
      <c r="H1620" s="1"/>
      <c r="I1620" s="1"/>
      <c r="J1620" s="1"/>
      <c r="K1620" s="1"/>
      <c r="L1620" s="1"/>
      <c r="M1620" s="1"/>
      <c r="N1620" s="1"/>
      <c r="O1620" s="1"/>
    </row>
    <row r="1621" spans="2:15" x14ac:dyDescent="0.3">
      <c r="B1621" s="1"/>
      <c r="C1621" s="1"/>
      <c r="D1621" s="1"/>
      <c r="E1621" s="1"/>
      <c r="F1621" s="1"/>
      <c r="G1621" s="1"/>
      <c r="H1621" s="1"/>
      <c r="I1621" s="1"/>
      <c r="J1621" s="1"/>
      <c r="K1621" s="1"/>
      <c r="L1621" s="1"/>
      <c r="M1621" s="1"/>
      <c r="N1621" s="1"/>
      <c r="O1621" s="1"/>
    </row>
    <row r="1622" spans="2:15" x14ac:dyDescent="0.3">
      <c r="B1622" s="1"/>
      <c r="C1622" s="1"/>
      <c r="D1622" s="1"/>
      <c r="E1622" s="1"/>
      <c r="F1622" s="1"/>
      <c r="G1622" s="1"/>
      <c r="H1622" s="1"/>
      <c r="I1622" s="1"/>
      <c r="J1622" s="1"/>
      <c r="K1622" s="1"/>
      <c r="L1622" s="1"/>
      <c r="M1622" s="1"/>
      <c r="N1622" s="1"/>
      <c r="O1622" s="1"/>
    </row>
  </sheetData>
  <mergeCells count="269">
    <mergeCell ref="A683:I683"/>
    <mergeCell ref="A659:O659"/>
    <mergeCell ref="A660:A680"/>
    <mergeCell ref="C672:C674"/>
    <mergeCell ref="D672:D674"/>
    <mergeCell ref="E672:E674"/>
    <mergeCell ref="B675:B676"/>
    <mergeCell ref="B679:B681"/>
    <mergeCell ref="C679:C681"/>
    <mergeCell ref="D679:D681"/>
    <mergeCell ref="G648:G651"/>
    <mergeCell ref="H648:H651"/>
    <mergeCell ref="C653:C657"/>
    <mergeCell ref="B653:B657"/>
    <mergeCell ref="A653:A657"/>
    <mergeCell ref="B652:H652"/>
    <mergeCell ref="B658:H658"/>
    <mergeCell ref="C623:C624"/>
    <mergeCell ref="H623:H624"/>
    <mergeCell ref="C626:C647"/>
    <mergeCell ref="F626:F628"/>
    <mergeCell ref="G626:G628"/>
    <mergeCell ref="H626:H628"/>
    <mergeCell ref="A627:A651"/>
    <mergeCell ref="B627:B651"/>
    <mergeCell ref="F629:F631"/>
    <mergeCell ref="G629:G631"/>
    <mergeCell ref="H629:H631"/>
    <mergeCell ref="H632:H634"/>
    <mergeCell ref="F633:F634"/>
    <mergeCell ref="G633:G634"/>
    <mergeCell ref="F635:F640"/>
    <mergeCell ref="G635:G640"/>
    <mergeCell ref="H635:H640"/>
    <mergeCell ref="F641:F647"/>
    <mergeCell ref="G641:G647"/>
    <mergeCell ref="H641:H647"/>
    <mergeCell ref="C648:C651"/>
    <mergeCell ref="D648:D651"/>
    <mergeCell ref="E648:E651"/>
    <mergeCell ref="F648:F651"/>
    <mergeCell ref="A605:A622"/>
    <mergeCell ref="B605:B622"/>
    <mergeCell ref="C611:C612"/>
    <mergeCell ref="D611:D612"/>
    <mergeCell ref="E611:E612"/>
    <mergeCell ref="F611:F612"/>
    <mergeCell ref="G611:G612"/>
    <mergeCell ref="H611:H612"/>
    <mergeCell ref="C615:C617"/>
    <mergeCell ref="C618:C619"/>
    <mergeCell ref="D618:D619"/>
    <mergeCell ref="E618:E619"/>
    <mergeCell ref="C582:C583"/>
    <mergeCell ref="C584:C586"/>
    <mergeCell ref="C592:C593"/>
    <mergeCell ref="C594:C595"/>
    <mergeCell ref="C596:C597"/>
    <mergeCell ref="C598:C599"/>
    <mergeCell ref="B567:H567"/>
    <mergeCell ref="B602:I602"/>
    <mergeCell ref="A603:O603"/>
    <mergeCell ref="A562:A566"/>
    <mergeCell ref="B562:B566"/>
    <mergeCell ref="D563:D566"/>
    <mergeCell ref="E563:E566"/>
    <mergeCell ref="C564:C565"/>
    <mergeCell ref="B444:H444"/>
    <mergeCell ref="C571:C572"/>
    <mergeCell ref="C573:C574"/>
    <mergeCell ref="A579:O579"/>
    <mergeCell ref="B538:B540"/>
    <mergeCell ref="C539:C540"/>
    <mergeCell ref="D539:D540"/>
    <mergeCell ref="E539:E540"/>
    <mergeCell ref="B541:B561"/>
    <mergeCell ref="C543:C544"/>
    <mergeCell ref="A545:A561"/>
    <mergeCell ref="C546:C553"/>
    <mergeCell ref="C554:C555"/>
    <mergeCell ref="C556:C561"/>
    <mergeCell ref="D521:D524"/>
    <mergeCell ref="E521:E524"/>
    <mergeCell ref="C526:C528"/>
    <mergeCell ref="D526:D528"/>
    <mergeCell ref="E527:E528"/>
    <mergeCell ref="B533:B537"/>
    <mergeCell ref="C534:C535"/>
    <mergeCell ref="D534:D535"/>
    <mergeCell ref="E534:E535"/>
    <mergeCell ref="B445:I445"/>
    <mergeCell ref="B446:K446"/>
    <mergeCell ref="A447:A544"/>
    <mergeCell ref="B447:B490"/>
    <mergeCell ref="C457:C458"/>
    <mergeCell ref="C466:C467"/>
    <mergeCell ref="C472:C473"/>
    <mergeCell ref="C492:C493"/>
    <mergeCell ref="B494:B496"/>
    <mergeCell ref="C495:C496"/>
    <mergeCell ref="D495:D496"/>
    <mergeCell ref="E495:E496"/>
    <mergeCell ref="B497:B498"/>
    <mergeCell ref="B499:B530"/>
    <mergeCell ref="C501:C511"/>
    <mergeCell ref="E501:E511"/>
    <mergeCell ref="C513:C517"/>
    <mergeCell ref="D513:D517"/>
    <mergeCell ref="E513:E517"/>
    <mergeCell ref="C521:C524"/>
    <mergeCell ref="D438:D440"/>
    <mergeCell ref="B441:B443"/>
    <mergeCell ref="C442:C443"/>
    <mergeCell ref="C448:C449"/>
    <mergeCell ref="C450:C451"/>
    <mergeCell ref="B386:H386"/>
    <mergeCell ref="A387:O387"/>
    <mergeCell ref="A388:A398"/>
    <mergeCell ref="B388:B398"/>
    <mergeCell ref="B399:H399"/>
    <mergeCell ref="A400:O400"/>
    <mergeCell ref="A401:A442"/>
    <mergeCell ref="B402:B409"/>
    <mergeCell ref="C403:C409"/>
    <mergeCell ref="D403:D409"/>
    <mergeCell ref="E403:E404"/>
    <mergeCell ref="C411:C414"/>
    <mergeCell ref="D411:D412"/>
    <mergeCell ref="E411:E412"/>
    <mergeCell ref="C415:C416"/>
    <mergeCell ref="D415:D416"/>
    <mergeCell ref="E415:E416"/>
    <mergeCell ref="B417:B428"/>
    <mergeCell ref="B429:B432"/>
    <mergeCell ref="C430:C432"/>
    <mergeCell ref="B433:B440"/>
    <mergeCell ref="C434:C440"/>
    <mergeCell ref="D434:D435"/>
    <mergeCell ref="E434:E435"/>
    <mergeCell ref="B25:H25"/>
    <mergeCell ref="A26:O26"/>
    <mergeCell ref="B27:I27"/>
    <mergeCell ref="A29:A74"/>
    <mergeCell ref="B29:B32"/>
    <mergeCell ref="A2:O2"/>
    <mergeCell ref="A3:O3"/>
    <mergeCell ref="A4:A8"/>
    <mergeCell ref="B4:B8"/>
    <mergeCell ref="C4:E4"/>
    <mergeCell ref="F4:I4"/>
    <mergeCell ref="J4:O4"/>
    <mergeCell ref="C5:C8"/>
    <mergeCell ref="D5:D8"/>
    <mergeCell ref="E5:E8"/>
    <mergeCell ref="M5:M8"/>
    <mergeCell ref="N5:N8"/>
    <mergeCell ref="O5:O8"/>
    <mergeCell ref="J7:J8"/>
    <mergeCell ref="K7:K8"/>
    <mergeCell ref="J5:K6"/>
    <mergeCell ref="L5:L8"/>
    <mergeCell ref="A11:O11"/>
    <mergeCell ref="A12:A24"/>
    <mergeCell ref="B12:B24"/>
    <mergeCell ref="B10:H10"/>
    <mergeCell ref="F5:F8"/>
    <mergeCell ref="G5:G8"/>
    <mergeCell ref="H5:H8"/>
    <mergeCell ref="I5:I8"/>
    <mergeCell ref="B65:B69"/>
    <mergeCell ref="B70:B74"/>
    <mergeCell ref="A75:A95"/>
    <mergeCell ref="B75:B96"/>
    <mergeCell ref="A101:A104"/>
    <mergeCell ref="B101:B104"/>
    <mergeCell ref="F30:F32"/>
    <mergeCell ref="G30:G32"/>
    <mergeCell ref="H30:H32"/>
    <mergeCell ref="B55:B59"/>
    <mergeCell ref="B60:B64"/>
    <mergeCell ref="A117:A122"/>
    <mergeCell ref="B117:B118"/>
    <mergeCell ref="B119:B120"/>
    <mergeCell ref="B121:B122"/>
    <mergeCell ref="A123:A124"/>
    <mergeCell ref="B123:B124"/>
    <mergeCell ref="C104:C105"/>
    <mergeCell ref="A106:A107"/>
    <mergeCell ref="B106:B108"/>
    <mergeCell ref="B109:B114"/>
    <mergeCell ref="A112:A116"/>
    <mergeCell ref="A182:A185"/>
    <mergeCell ref="B182:B185"/>
    <mergeCell ref="A186:A187"/>
    <mergeCell ref="B186:B188"/>
    <mergeCell ref="A189:A192"/>
    <mergeCell ref="B189:B193"/>
    <mergeCell ref="B125:B126"/>
    <mergeCell ref="A127:A178"/>
    <mergeCell ref="B127:B178"/>
    <mergeCell ref="A180:A181"/>
    <mergeCell ref="B180:B181"/>
    <mergeCell ref="B226:O226"/>
    <mergeCell ref="A227:A230"/>
    <mergeCell ref="B227:B230"/>
    <mergeCell ref="B233:O233"/>
    <mergeCell ref="A234:I234"/>
    <mergeCell ref="B195:B211"/>
    <mergeCell ref="A201:A210"/>
    <mergeCell ref="A213:A221"/>
    <mergeCell ref="B213:B223"/>
    <mergeCell ref="B225:O225"/>
    <mergeCell ref="A247:I247"/>
    <mergeCell ref="A248:A253"/>
    <mergeCell ref="B248:B252"/>
    <mergeCell ref="B254:B255"/>
    <mergeCell ref="A256:A257"/>
    <mergeCell ref="B256:B257"/>
    <mergeCell ref="A236:A239"/>
    <mergeCell ref="B236:B239"/>
    <mergeCell ref="A240:A243"/>
    <mergeCell ref="B240:B243"/>
    <mergeCell ref="A244:A246"/>
    <mergeCell ref="B244:B246"/>
    <mergeCell ref="A282:A286"/>
    <mergeCell ref="B282:B290"/>
    <mergeCell ref="A291:A300"/>
    <mergeCell ref="B291:B294"/>
    <mergeCell ref="B295:B299"/>
    <mergeCell ref="B300:B303"/>
    <mergeCell ref="A258:A262"/>
    <mergeCell ref="B258:B267"/>
    <mergeCell ref="A268:A272"/>
    <mergeCell ref="B268:B277"/>
    <mergeCell ref="B278:B281"/>
    <mergeCell ref="P313:P316"/>
    <mergeCell ref="B317:B318"/>
    <mergeCell ref="B319:B321"/>
    <mergeCell ref="A322:A325"/>
    <mergeCell ref="B322:B325"/>
    <mergeCell ref="B304:B308"/>
    <mergeCell ref="A309:A310"/>
    <mergeCell ref="B309:B310"/>
    <mergeCell ref="A312:A316"/>
    <mergeCell ref="B312:B316"/>
    <mergeCell ref="A352:A355"/>
    <mergeCell ref="B352:B355"/>
    <mergeCell ref="A356:O356"/>
    <mergeCell ref="B358:B361"/>
    <mergeCell ref="B362:B363"/>
    <mergeCell ref="C362:C363"/>
    <mergeCell ref="D362:D363"/>
    <mergeCell ref="A326:A329"/>
    <mergeCell ref="B326:B329"/>
    <mergeCell ref="B330:B350"/>
    <mergeCell ref="A346:A349"/>
    <mergeCell ref="B351:I351"/>
    <mergeCell ref="B365:H365"/>
    <mergeCell ref="B366:O366"/>
    <mergeCell ref="A367:A377"/>
    <mergeCell ref="B367:B368"/>
    <mergeCell ref="B370:B381"/>
    <mergeCell ref="C370:C373"/>
    <mergeCell ref="D375:D376"/>
    <mergeCell ref="E375:E376"/>
    <mergeCell ref="A378:A383"/>
    <mergeCell ref="B382:B385"/>
    <mergeCell ref="C382:C383"/>
    <mergeCell ref="C384:C385"/>
  </mergeCells>
  <pageMargins left="0.70866141732283472" right="0.70866141732283472" top="0.74803149606299213" bottom="0.74803149606299213" header="0.31496062992125984" footer="0.31496062992125984"/>
  <pageSetup paperSize="9" scale="32" fitToWidth="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Лист2</vt:lpstr>
      <vt:lpstr>Лист2!Область_печати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2025-01-29T10:54:36Z</dcterms:modified>
</cp:coreProperties>
</file>